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D:\Data\Internet\incus.starfree.jp\med\hydroponics\"/>
    </mc:Choice>
  </mc:AlternateContent>
  <xr:revisionPtr revIDLastSave="0" documentId="13_ncr:1_{A509D65E-BDFB-421F-8762-0DDF0A8026F4}" xr6:coauthVersionLast="47" xr6:coauthVersionMax="47" xr10:uidLastSave="{00000000-0000-0000-0000-000000000000}"/>
  <bookViews>
    <workbookView xWindow="28680" yWindow="-240" windowWidth="29040" windowHeight="15840" tabRatio="549" xr2:uid="{00000000-000D-0000-FFFF-FFFF00000000}"/>
  </bookViews>
  <sheets>
    <sheet name="入力欄" sheetId="1" r:id="rId1"/>
    <sheet name="計算" sheetId="3" r:id="rId2"/>
    <sheet name="リスト" sheetId="4" r:id="rId3"/>
    <sheet name="検索語句" sheetId="5" r:id="rId4"/>
    <sheet name="輸液一覧表" sheetId="2" r:id="rId5"/>
    <sheet name="使用方法" sheetId="7" r:id="rId6"/>
  </sheets>
  <externalReferences>
    <externalReference r:id="rId7"/>
  </externalReferences>
  <definedNames>
    <definedName name="_xlnm._FilterDatabase" localSheetId="3" hidden="1">検索語句!$A$2:$G$2</definedName>
    <definedName name="PPN_末梢静脈栄養輸液">輸液一覧表!$B$141:$B$149</definedName>
    <definedName name="PPN・末梢静脈栄養輸液">輸液一覧表!$B$141:$B$149</definedName>
    <definedName name="TPN・高カロリー輸液">輸液一覧表!$B$151:$B$177</definedName>
    <definedName name="アミノ酸製剤">輸液一覧表!$B$126:$B$139</definedName>
    <definedName name="カロリー計子">[1]Sheet4!$E$2:$E$208</definedName>
    <definedName name="ビタミン・微量元素">輸液一覧表!$B$225:$B$253</definedName>
    <definedName name="維持液・3号液">輸液一覧表!$B$67:$B$100</definedName>
    <definedName name="開始液・1号液">輸液一覧表!$B$54:$B$60</definedName>
    <definedName name="経口栄養">輸液一覧表!$B$195:$B$223</definedName>
    <definedName name="計算シート成分名">計算!$1:$1</definedName>
    <definedName name="計算シート製品名">計算!$B:$B</definedName>
    <definedName name="計算結果">計算!$1:$1048576</definedName>
    <definedName name="細胞外液">輸液一覧表!$B$18:$B$52</definedName>
    <definedName name="脂肪乳剤">輸液一覧表!$B$179:$B$181</definedName>
    <definedName name="術後回復液・4号液">輸液一覧表!$B$102:$B$105</definedName>
    <definedName name="代用血漿増量剤">輸液一覧表!$B$183:$B$189</definedName>
    <definedName name="脱水補給液・2号液">輸液一覧表!$B$62:$B$65</definedName>
    <definedName name="電解質補正液">輸液一覧表!$B$107:$B$124</definedName>
    <definedName name="糖液剤">輸液一覧表!$B$8:$B$16</definedName>
    <definedName name="頻用薬リスト">入力欄!$N$3:$N$16</definedName>
    <definedName name="輸液一覧">輸液一覧表!$1:$1048576</definedName>
    <definedName name="輸液一覧成分名">輸液一覧表!$1:$1</definedName>
    <definedName name="輸液一覧製品名">輸液一覧表!$B:$B</definedName>
    <definedName name="輸液一覧輸液種類">輸液一覧表!$A:$A</definedName>
    <definedName name="輸液種類リスト">リスト!$G$3:$G$16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2" i="2" l="1"/>
  <c r="CK202" i="2"/>
  <c r="BU202" i="2"/>
  <c r="BE202" i="2"/>
  <c r="BD202" i="2"/>
  <c r="BC202" i="2"/>
  <c r="BB202" i="2"/>
  <c r="BA202" i="2"/>
  <c r="AZ202" i="2"/>
  <c r="AY202" i="2"/>
  <c r="AX202" i="2"/>
  <c r="AW202" i="2"/>
  <c r="AV202" i="2"/>
  <c r="AT202" i="2"/>
  <c r="AS202" i="2"/>
  <c r="AR202" i="2"/>
  <c r="AQ202" i="2"/>
  <c r="AP202" i="2"/>
  <c r="BG202" i="2" s="1"/>
  <c r="AO202" i="2"/>
  <c r="AN202" i="2"/>
  <c r="AM202" i="2"/>
  <c r="BH202" i="2" s="1" a="1"/>
  <c r="BH202" i="2" s="1"/>
  <c r="AJ202" i="2"/>
  <c r="S202" i="2"/>
  <c r="J202" i="2"/>
  <c r="I202" i="2"/>
  <c r="H202" i="2"/>
  <c r="G202" i="2"/>
  <c r="B31" i="3" l="1"/>
  <c r="B32" i="3"/>
  <c r="B33" i="3"/>
  <c r="B34" i="3"/>
  <c r="B35" i="3"/>
  <c r="B36" i="3"/>
  <c r="B37" i="3"/>
  <c r="B38" i="3"/>
  <c r="B39" i="3"/>
  <c r="J6" i="1" l="1"/>
  <c r="AM201" i="2"/>
  <c r="AN201" i="2"/>
  <c r="AO201" i="2"/>
  <c r="BG201" i="2" s="1"/>
  <c r="AP201" i="2"/>
  <c r="AQ201" i="2"/>
  <c r="AR201" i="2"/>
  <c r="AS201" i="2"/>
  <c r="AT201" i="2"/>
  <c r="AV201" i="2"/>
  <c r="AW201" i="2"/>
  <c r="AX201" i="2"/>
  <c r="AY201" i="2"/>
  <c r="AZ201" i="2"/>
  <c r="BA201" i="2"/>
  <c r="BB201" i="2"/>
  <c r="BC201" i="2"/>
  <c r="BD201" i="2"/>
  <c r="BE201" i="2"/>
  <c r="I214" i="2"/>
  <c r="I213" i="2"/>
  <c r="I209" i="2"/>
  <c r="I208" i="2"/>
  <c r="I207" i="2"/>
  <c r="I201" i="2"/>
  <c r="I200" i="2"/>
  <c r="I199" i="2"/>
  <c r="I198" i="2"/>
  <c r="H201" i="2"/>
  <c r="H214" i="2"/>
  <c r="H213" i="2"/>
  <c r="H210" i="2"/>
  <c r="H209" i="2"/>
  <c r="H208" i="2"/>
  <c r="H200" i="2"/>
  <c r="H199" i="2"/>
  <c r="H198" i="2"/>
  <c r="BH201" i="2" l="1" a="1"/>
  <c r="BH201" i="2" s="1"/>
  <c r="J7" i="1"/>
  <c r="H21" i="1"/>
  <c r="CK201" i="2" l="1"/>
  <c r="BU201" i="2"/>
  <c r="AJ201" i="2"/>
  <c r="S201" i="2"/>
  <c r="G201" i="2"/>
  <c r="J201" i="2"/>
  <c r="F201" i="2"/>
  <c r="CJ188" i="2" l="1"/>
  <c r="CJ187" i="2"/>
  <c r="CJ186" i="2"/>
  <c r="CJ185" i="2"/>
  <c r="CJ184" i="2"/>
  <c r="CJ183" i="2"/>
  <c r="CJ180" i="2"/>
  <c r="CJ179" i="2"/>
  <c r="CJ176" i="2"/>
  <c r="CJ175" i="2"/>
  <c r="CJ174" i="2"/>
  <c r="CJ173" i="2"/>
  <c r="CJ172" i="2"/>
  <c r="CJ171" i="2"/>
  <c r="CJ170" i="2"/>
  <c r="CJ169" i="2"/>
  <c r="CJ168" i="2"/>
  <c r="CJ167" i="2"/>
  <c r="CJ166" i="2"/>
  <c r="CJ165" i="2"/>
  <c r="CJ164" i="2"/>
  <c r="CJ163" i="2"/>
  <c r="CJ162" i="2"/>
  <c r="CJ161" i="2"/>
  <c r="CJ160" i="2"/>
  <c r="CJ159" i="2"/>
  <c r="CJ158" i="2"/>
  <c r="CJ157" i="2"/>
  <c r="CJ156" i="2"/>
  <c r="CJ155" i="2"/>
  <c r="CJ154" i="2"/>
  <c r="CJ153" i="2"/>
  <c r="CJ152" i="2"/>
  <c r="CJ151" i="2"/>
  <c r="CJ148" i="2"/>
  <c r="CJ147" i="2"/>
  <c r="CJ146" i="2"/>
  <c r="CJ145" i="2"/>
  <c r="CJ144" i="2"/>
  <c r="CJ143" i="2"/>
  <c r="CJ142" i="2"/>
  <c r="CJ141" i="2"/>
  <c r="CJ138" i="2"/>
  <c r="CJ137" i="2"/>
  <c r="CJ136" i="2"/>
  <c r="CJ135" i="2"/>
  <c r="CJ134" i="2"/>
  <c r="CJ133" i="2"/>
  <c r="CJ132" i="2"/>
  <c r="CJ131" i="2"/>
  <c r="CJ130" i="2"/>
  <c r="CJ129" i="2"/>
  <c r="CJ128" i="2"/>
  <c r="CJ127" i="2"/>
  <c r="CJ126" i="2"/>
  <c r="CJ123" i="2"/>
  <c r="CJ122" i="2"/>
  <c r="CJ121" i="2"/>
  <c r="CJ120" i="2"/>
  <c r="CJ119" i="2"/>
  <c r="CJ118" i="2"/>
  <c r="CJ117" i="2"/>
  <c r="CJ116" i="2"/>
  <c r="CJ115" i="2"/>
  <c r="CJ114" i="2"/>
  <c r="CJ113" i="2"/>
  <c r="CJ112" i="2"/>
  <c r="CJ111" i="2"/>
  <c r="CJ110" i="2"/>
  <c r="CJ109" i="2"/>
  <c r="CJ108" i="2"/>
  <c r="CJ107" i="2"/>
  <c r="CJ104" i="2"/>
  <c r="CJ103" i="2"/>
  <c r="CJ102" i="2"/>
  <c r="CJ99" i="2"/>
  <c r="CJ98" i="2"/>
  <c r="CJ97" i="2"/>
  <c r="CJ96" i="2"/>
  <c r="CJ95" i="2"/>
  <c r="CJ94" i="2"/>
  <c r="CJ93" i="2"/>
  <c r="CJ92" i="2"/>
  <c r="CJ91" i="2"/>
  <c r="CJ90" i="2"/>
  <c r="CJ89" i="2"/>
  <c r="CJ88" i="2"/>
  <c r="CJ87" i="2"/>
  <c r="CJ86" i="2"/>
  <c r="CJ85" i="2"/>
  <c r="CJ84" i="2"/>
  <c r="CJ83" i="2"/>
  <c r="CJ82" i="2"/>
  <c r="CJ81" i="2"/>
  <c r="CJ80" i="2"/>
  <c r="CJ79" i="2"/>
  <c r="CJ78" i="2"/>
  <c r="CJ77" i="2"/>
  <c r="CJ76" i="2"/>
  <c r="CJ75" i="2"/>
  <c r="CJ74" i="2"/>
  <c r="CJ73" i="2"/>
  <c r="CJ72" i="2"/>
  <c r="CJ71" i="2"/>
  <c r="CJ70" i="2"/>
  <c r="CJ69" i="2"/>
  <c r="CJ68" i="2"/>
  <c r="CJ67" i="2"/>
  <c r="CJ64" i="2"/>
  <c r="CJ63" i="2"/>
  <c r="CJ62" i="2"/>
  <c r="CJ59" i="2"/>
  <c r="CJ58" i="2"/>
  <c r="CJ57" i="2"/>
  <c r="CJ56" i="2"/>
  <c r="CJ55" i="2"/>
  <c r="CJ54" i="2"/>
  <c r="CJ51" i="2"/>
  <c r="CJ50" i="2"/>
  <c r="CJ49" i="2"/>
  <c r="CJ48" i="2"/>
  <c r="CJ47" i="2"/>
  <c r="CJ46" i="2"/>
  <c r="CJ45" i="2"/>
  <c r="CJ44" i="2"/>
  <c r="CJ43" i="2"/>
  <c r="CJ42" i="2"/>
  <c r="CJ41" i="2"/>
  <c r="CJ40" i="2"/>
  <c r="CJ39" i="2"/>
  <c r="CJ38" i="2"/>
  <c r="CJ37" i="2"/>
  <c r="CJ36" i="2"/>
  <c r="CJ35" i="2"/>
  <c r="CJ34" i="2"/>
  <c r="CJ33" i="2"/>
  <c r="CJ32" i="2"/>
  <c r="CJ31" i="2"/>
  <c r="CJ30" i="2"/>
  <c r="CJ29" i="2"/>
  <c r="CJ28" i="2"/>
  <c r="CJ27" i="2"/>
  <c r="CJ26" i="2"/>
  <c r="CJ25" i="2"/>
  <c r="CJ24" i="2"/>
  <c r="CJ23" i="2"/>
  <c r="CJ22" i="2"/>
  <c r="CJ21" i="2"/>
  <c r="CJ20" i="2"/>
  <c r="CJ19" i="2"/>
  <c r="CJ18" i="2"/>
  <c r="CJ15" i="2"/>
  <c r="CJ14" i="2"/>
  <c r="CJ13" i="2"/>
  <c r="CJ12" i="2"/>
  <c r="CJ11" i="2"/>
  <c r="CJ10" i="2"/>
  <c r="CJ9" i="2"/>
  <c r="CJ8" i="2"/>
  <c r="S207" i="2" l="1"/>
  <c r="S153" i="2"/>
  <c r="S154" i="2"/>
  <c r="S155" i="2"/>
  <c r="S156" i="2"/>
  <c r="S157" i="2"/>
  <c r="S158" i="2"/>
  <c r="S160" i="2"/>
  <c r="S161" i="2"/>
  <c r="S162" i="2"/>
  <c r="S168" i="2"/>
  <c r="S169" i="2"/>
  <c r="S170" i="2"/>
  <c r="S171" i="2"/>
  <c r="S172" i="2"/>
  <c r="S175" i="2"/>
  <c r="S176" i="2"/>
  <c r="S197" i="2"/>
  <c r="CB253" i="2"/>
  <c r="CA253" i="2"/>
  <c r="BZ253" i="2"/>
  <c r="J12" i="1" l="1"/>
  <c r="J191" i="2" l="1"/>
  <c r="F191" i="2"/>
  <c r="J107" i="2"/>
  <c r="F107" i="2"/>
  <c r="D27" i="3"/>
  <c r="CI27" i="3" s="1"/>
  <c r="B27" i="3"/>
  <c r="Y27" i="3" l="1"/>
  <c r="CJ27" i="3"/>
  <c r="BM27" i="3"/>
  <c r="Z27" i="3"/>
  <c r="BN27" i="3"/>
  <c r="AI27" i="3"/>
  <c r="CK27" i="3"/>
  <c r="AN27" i="3"/>
  <c r="K27" i="3"/>
  <c r="O27" i="3"/>
  <c r="AX27" i="3"/>
  <c r="AM27" i="3"/>
  <c r="J27" i="3"/>
  <c r="AW27" i="3"/>
  <c r="X27" i="3"/>
  <c r="BC27" i="3"/>
  <c r="I27" i="3"/>
  <c r="W27" i="3"/>
  <c r="AH27" i="3"/>
  <c r="AV27" i="3"/>
  <c r="BL27" i="3"/>
  <c r="CD27" i="3"/>
  <c r="Q27" i="3"/>
  <c r="AE27" i="3"/>
  <c r="AP27" i="3"/>
  <c r="BE27" i="3"/>
  <c r="BV27" i="3"/>
  <c r="CL27" i="3"/>
  <c r="AA27" i="3"/>
  <c r="BD27" i="3"/>
  <c r="G27" i="3"/>
  <c r="R27" i="3"/>
  <c r="AF27" i="3"/>
  <c r="AQ27" i="3"/>
  <c r="BF27" i="3"/>
  <c r="CB27" i="3"/>
  <c r="BT27" i="3"/>
  <c r="P27" i="3"/>
  <c r="AO27" i="3"/>
  <c r="BU27" i="3"/>
  <c r="H27" i="3"/>
  <c r="S27" i="3"/>
  <c r="AG27" i="3"/>
  <c r="AU27" i="3"/>
  <c r="BK27" i="3"/>
  <c r="CC27" i="3"/>
  <c r="AY27" i="3"/>
  <c r="BG27" i="3"/>
  <c r="BO27" i="3"/>
  <c r="BW27" i="3"/>
  <c r="CE27" i="3"/>
  <c r="CM27" i="3"/>
  <c r="L27" i="3"/>
  <c r="AB27" i="3"/>
  <c r="AR27" i="3"/>
  <c r="AZ27" i="3"/>
  <c r="BH27" i="3"/>
  <c r="BP27" i="3"/>
  <c r="BX27" i="3"/>
  <c r="CF27" i="3"/>
  <c r="T27" i="3"/>
  <c r="AJ27" i="3"/>
  <c r="E27" i="3"/>
  <c r="M27" i="3"/>
  <c r="U27" i="3"/>
  <c r="AC27" i="3"/>
  <c r="AK27" i="3"/>
  <c r="AS27" i="3"/>
  <c r="BA27" i="3"/>
  <c r="BI27" i="3"/>
  <c r="BQ27" i="3"/>
  <c r="BY27" i="3"/>
  <c r="CG27" i="3"/>
  <c r="F27" i="3"/>
  <c r="N27" i="3"/>
  <c r="V27" i="3"/>
  <c r="AD27" i="3"/>
  <c r="AL27" i="3"/>
  <c r="AT27" i="3"/>
  <c r="BB27" i="3"/>
  <c r="BJ27" i="3"/>
  <c r="BR27" i="3"/>
  <c r="BZ27" i="3"/>
  <c r="CH27" i="3"/>
  <c r="BS27" i="3"/>
  <c r="CA27" i="3"/>
  <c r="T3" i="3"/>
  <c r="S3" i="3"/>
  <c r="R3" i="3"/>
  <c r="Q3" i="3"/>
  <c r="P3" i="3"/>
  <c r="O3" i="3"/>
  <c r="N3" i="3"/>
  <c r="M3" i="3"/>
  <c r="L3" i="3"/>
  <c r="K3" i="3"/>
  <c r="J3" i="3"/>
  <c r="I3" i="3"/>
  <c r="H3" i="3"/>
  <c r="G3" i="3"/>
  <c r="F3" i="3"/>
  <c r="T2" i="3"/>
  <c r="S2" i="3"/>
  <c r="R2" i="3"/>
  <c r="Q2" i="3"/>
  <c r="P2" i="3"/>
  <c r="O2" i="3"/>
  <c r="N2" i="3"/>
  <c r="M2" i="3"/>
  <c r="L2" i="3"/>
  <c r="K2" i="3"/>
  <c r="J2" i="3"/>
  <c r="I2" i="3"/>
  <c r="H2" i="3"/>
  <c r="G2" i="3"/>
  <c r="D2" i="3"/>
  <c r="E2" i="3"/>
  <c r="F2" i="3"/>
  <c r="CL207" i="2"/>
  <c r="AF207" i="2"/>
  <c r="I199" i="5"/>
  <c r="D26" i="3" l="1"/>
  <c r="D25" i="3"/>
  <c r="D24" i="3"/>
  <c r="D23" i="3"/>
  <c r="D22" i="3"/>
  <c r="D21" i="3"/>
  <c r="B7" i="3"/>
  <c r="B8" i="3"/>
  <c r="B9" i="3"/>
  <c r="B10" i="3"/>
  <c r="B11" i="3"/>
  <c r="B12" i="3"/>
  <c r="B13" i="3"/>
  <c r="B14" i="3"/>
  <c r="D49" i="3"/>
  <c r="D50" i="3"/>
  <c r="D51" i="3"/>
  <c r="CK209" i="2"/>
  <c r="CK208" i="2"/>
  <c r="CK206" i="2"/>
  <c r="CK205" i="2"/>
  <c r="CK200" i="2"/>
  <c r="CK199" i="2"/>
  <c r="CK198" i="2"/>
  <c r="CK197" i="2"/>
  <c r="AF206" i="2"/>
  <c r="AF205" i="2"/>
  <c r="AF204" i="2"/>
  <c r="AF203" i="2"/>
  <c r="CM2" i="3"/>
  <c r="CL2" i="3"/>
  <c r="CK2" i="3"/>
  <c r="CJ2" i="3"/>
  <c r="CI2" i="3"/>
  <c r="CH2" i="3"/>
  <c r="CG2" i="3"/>
  <c r="CF2" i="3"/>
  <c r="CE2" i="3"/>
  <c r="CD2" i="3"/>
  <c r="CC2" i="3"/>
  <c r="CB2" i="3"/>
  <c r="CA2" i="3"/>
  <c r="BZ2" i="3"/>
  <c r="BY2" i="3"/>
  <c r="BX2" i="3"/>
  <c r="BW2" i="3"/>
  <c r="BV2" i="3"/>
  <c r="BU2" i="3"/>
  <c r="BT2" i="3"/>
  <c r="BS2" i="3"/>
  <c r="BR2" i="3"/>
  <c r="BQ2" i="3"/>
  <c r="BP2" i="3"/>
  <c r="BO2" i="3"/>
  <c r="BN2" i="3"/>
  <c r="BM2" i="3"/>
  <c r="BL2" i="3"/>
  <c r="BK2" i="3"/>
  <c r="BJ2" i="3"/>
  <c r="BI2" i="3"/>
  <c r="BH2" i="3"/>
  <c r="BG2" i="3"/>
  <c r="BF2" i="3"/>
  <c r="CM1" i="3"/>
  <c r="CL1" i="3"/>
  <c r="CK1" i="3"/>
  <c r="CJ1" i="3"/>
  <c r="CI1" i="3"/>
  <c r="CH1" i="3"/>
  <c r="CG1" i="3"/>
  <c r="CF1" i="3"/>
  <c r="CE1" i="3"/>
  <c r="CD1" i="3"/>
  <c r="CC1" i="3"/>
  <c r="CB1" i="3"/>
  <c r="CA1" i="3"/>
  <c r="BZ1" i="3"/>
  <c r="BY1" i="3"/>
  <c r="BX1" i="3"/>
  <c r="BW1" i="3"/>
  <c r="BV1" i="3"/>
  <c r="BU1" i="3"/>
  <c r="BT1" i="3"/>
  <c r="BS1" i="3"/>
  <c r="BR1" i="3"/>
  <c r="BQ1" i="3"/>
  <c r="BP1" i="3"/>
  <c r="BO1" i="3"/>
  <c r="BN1" i="3"/>
  <c r="BM1" i="3"/>
  <c r="BL1" i="3"/>
  <c r="BK1" i="3"/>
  <c r="BJ1" i="3"/>
  <c r="BI1" i="3"/>
  <c r="BH1" i="3"/>
  <c r="BG1" i="3"/>
  <c r="CK123" i="2" l="1"/>
  <c r="CK122" i="2"/>
  <c r="CK121" i="2"/>
  <c r="CK120" i="2"/>
  <c r="CK119" i="2"/>
  <c r="CK118" i="2"/>
  <c r="CK117" i="2"/>
  <c r="CK116" i="2"/>
  <c r="CK115" i="2"/>
  <c r="CK114" i="2"/>
  <c r="CK113" i="2"/>
  <c r="CK112" i="2"/>
  <c r="CK111" i="2"/>
  <c r="CK110" i="2"/>
  <c r="CK109" i="2"/>
  <c r="CK108" i="2"/>
  <c r="CK107" i="2"/>
  <c r="CK8" i="2" l="1"/>
  <c r="CK9" i="2"/>
  <c r="CK10" i="2"/>
  <c r="CK11" i="2"/>
  <c r="CK12" i="2"/>
  <c r="CK13" i="2"/>
  <c r="CK14" i="2"/>
  <c r="CK15" i="2"/>
  <c r="CK18" i="2"/>
  <c r="CK19" i="2"/>
  <c r="CK20" i="2"/>
  <c r="CK21" i="2"/>
  <c r="CK22" i="2"/>
  <c r="CK23" i="2"/>
  <c r="CK24" i="2"/>
  <c r="CK25" i="2"/>
  <c r="CK26" i="2"/>
  <c r="CK27" i="2"/>
  <c r="CK28" i="2"/>
  <c r="CK29" i="2"/>
  <c r="CK30" i="2"/>
  <c r="CK31" i="2"/>
  <c r="CK32" i="2"/>
  <c r="CK33" i="2"/>
  <c r="CK34" i="2"/>
  <c r="CK35" i="2"/>
  <c r="CK36" i="2"/>
  <c r="CK37" i="2"/>
  <c r="CK38" i="2"/>
  <c r="CK39" i="2"/>
  <c r="CK40" i="2"/>
  <c r="CK41" i="2"/>
  <c r="CK42" i="2"/>
  <c r="CK43" i="2"/>
  <c r="CK44" i="2"/>
  <c r="CK45" i="2"/>
  <c r="CK46" i="2"/>
  <c r="CK47" i="2"/>
  <c r="CK48" i="2"/>
  <c r="CK49" i="2"/>
  <c r="CK50" i="2"/>
  <c r="CK51" i="2"/>
  <c r="CK54" i="2"/>
  <c r="CK55" i="2"/>
  <c r="CK56" i="2"/>
  <c r="CK57" i="2"/>
  <c r="CK58" i="2"/>
  <c r="CK59" i="2"/>
  <c r="CK62" i="2"/>
  <c r="CK63" i="2"/>
  <c r="CK64" i="2"/>
  <c r="CK67" i="2"/>
  <c r="CK68" i="2"/>
  <c r="CK69" i="2"/>
  <c r="CK70" i="2"/>
  <c r="CK71" i="2"/>
  <c r="CK72" i="2"/>
  <c r="CK73" i="2"/>
  <c r="CK74" i="2"/>
  <c r="CK75" i="2"/>
  <c r="CK76" i="2"/>
  <c r="CK77" i="2"/>
  <c r="CK78" i="2"/>
  <c r="CK79" i="2"/>
  <c r="CK80" i="2"/>
  <c r="CK81" i="2"/>
  <c r="CK82" i="2"/>
  <c r="CK83" i="2"/>
  <c r="CK84" i="2"/>
  <c r="CK85" i="2"/>
  <c r="CK86" i="2"/>
  <c r="CK87" i="2"/>
  <c r="CK88" i="2"/>
  <c r="CK89" i="2"/>
  <c r="CK90" i="2"/>
  <c r="CK91" i="2"/>
  <c r="CK92" i="2"/>
  <c r="CK93" i="2"/>
  <c r="CK94" i="2"/>
  <c r="CK95" i="2"/>
  <c r="CK96" i="2"/>
  <c r="CK97" i="2"/>
  <c r="CK98" i="2"/>
  <c r="CK99" i="2"/>
  <c r="CK102" i="2"/>
  <c r="CK103" i="2"/>
  <c r="CK104" i="2"/>
  <c r="CK126" i="2"/>
  <c r="CK127" i="2"/>
  <c r="CK128" i="2"/>
  <c r="CK129" i="2"/>
  <c r="CK130" i="2"/>
  <c r="CK131" i="2"/>
  <c r="CK132" i="2"/>
  <c r="CK133" i="2"/>
  <c r="CK134" i="2"/>
  <c r="CK135" i="2"/>
  <c r="CK136" i="2"/>
  <c r="CK137" i="2"/>
  <c r="CK138" i="2"/>
  <c r="CK141" i="2"/>
  <c r="CK142" i="2"/>
  <c r="CK143" i="2"/>
  <c r="CK144" i="2"/>
  <c r="CK145" i="2"/>
  <c r="CK146" i="2"/>
  <c r="CK147" i="2"/>
  <c r="CK148" i="2"/>
  <c r="CK151" i="2"/>
  <c r="CK152" i="2"/>
  <c r="CK153" i="2"/>
  <c r="CK154" i="2"/>
  <c r="CK155" i="2"/>
  <c r="CK156" i="2"/>
  <c r="CK157" i="2"/>
  <c r="CK158" i="2"/>
  <c r="CK159" i="2"/>
  <c r="CK160" i="2"/>
  <c r="CK161" i="2"/>
  <c r="CK162" i="2"/>
  <c r="CK163" i="2"/>
  <c r="CK164" i="2"/>
  <c r="CK165" i="2"/>
  <c r="CK166" i="2"/>
  <c r="CK167" i="2"/>
  <c r="CK168" i="2"/>
  <c r="CK169" i="2"/>
  <c r="CK170" i="2"/>
  <c r="CK171" i="2"/>
  <c r="CK172" i="2"/>
  <c r="CK173" i="2"/>
  <c r="CK174" i="2"/>
  <c r="CK175" i="2"/>
  <c r="CK176" i="2"/>
  <c r="CK179" i="2"/>
  <c r="CK180" i="2"/>
  <c r="CK183" i="2"/>
  <c r="CK184" i="2"/>
  <c r="CK185" i="2"/>
  <c r="CK186" i="2"/>
  <c r="CK187" i="2"/>
  <c r="CK188" i="2"/>
  <c r="CK195" i="2"/>
  <c r="CK196" i="2"/>
  <c r="CL206" i="2"/>
  <c r="CL205" i="2"/>
  <c r="CL204" i="2"/>
  <c r="CL203" i="2"/>
  <c r="CL194" i="2"/>
  <c r="CL193" i="2"/>
  <c r="CL191" i="2"/>
  <c r="CK191" i="2" s="1"/>
  <c r="CL188" i="2"/>
  <c r="CL187" i="2"/>
  <c r="CL186" i="2"/>
  <c r="CL185" i="2"/>
  <c r="CL184" i="2"/>
  <c r="CL180" i="2"/>
  <c r="CL179" i="2"/>
  <c r="CL143" i="2"/>
  <c r="CL138" i="2"/>
  <c r="CL137" i="2"/>
  <c r="CL136" i="2"/>
  <c r="CL135" i="2"/>
  <c r="CL134" i="2"/>
  <c r="CL133" i="2"/>
  <c r="CL132" i="2"/>
  <c r="CL130" i="2"/>
  <c r="CL129" i="2"/>
  <c r="CL128" i="2"/>
  <c r="CL127" i="2"/>
  <c r="CL126" i="2"/>
  <c r="CL123" i="2"/>
  <c r="CL122" i="2"/>
  <c r="CL121" i="2"/>
  <c r="CL120" i="2"/>
  <c r="CL119" i="2"/>
  <c r="CL118" i="2"/>
  <c r="CL117" i="2"/>
  <c r="CL116" i="2"/>
  <c r="CL115" i="2"/>
  <c r="CL114" i="2"/>
  <c r="CL111" i="2"/>
  <c r="CL110" i="2"/>
  <c r="CL109" i="2"/>
  <c r="CL108" i="2"/>
  <c r="CL107" i="2"/>
  <c r="CL183" i="2"/>
  <c r="BD113" i="2"/>
  <c r="CL113" i="2" s="1"/>
  <c r="BD112" i="2"/>
  <c r="CL112" i="2" s="1"/>
  <c r="BE2" i="3"/>
  <c r="BD2" i="3"/>
  <c r="BC2" i="3"/>
  <c r="BB2" i="3"/>
  <c r="BA2" i="3"/>
  <c r="AZ2" i="3"/>
  <c r="AY2" i="3"/>
  <c r="AX2" i="3"/>
  <c r="AW2" i="3"/>
  <c r="AV2" i="3"/>
  <c r="AU2" i="3"/>
  <c r="AT2" i="3"/>
  <c r="AS2" i="3"/>
  <c r="AR2" i="3"/>
  <c r="AQ2" i="3"/>
  <c r="AP2" i="3"/>
  <c r="AO2" i="3"/>
  <c r="AN2" i="3"/>
  <c r="AM2" i="3"/>
  <c r="AL2" i="3"/>
  <c r="AK2" i="3"/>
  <c r="AJ2" i="3"/>
  <c r="AI2" i="3"/>
  <c r="AH2" i="3"/>
  <c r="AG2" i="3"/>
  <c r="AF2" i="3"/>
  <c r="AE2" i="3"/>
  <c r="AD2" i="3"/>
  <c r="AC2" i="3"/>
  <c r="AB2" i="3"/>
  <c r="AA2" i="3"/>
  <c r="Z2" i="3"/>
  <c r="Y2" i="3"/>
  <c r="X2" i="3"/>
  <c r="W2" i="3"/>
  <c r="V2" i="3"/>
  <c r="U2" i="3"/>
  <c r="C2" i="3"/>
  <c r="B2" i="3"/>
  <c r="BF1" i="3"/>
  <c r="BE1" i="3"/>
  <c r="BD1" i="3"/>
  <c r="BC1" i="3"/>
  <c r="BB1" i="3"/>
  <c r="BA1" i="3"/>
  <c r="AZ1" i="3"/>
  <c r="AY1" i="3"/>
  <c r="AX1" i="3"/>
  <c r="AW1" i="3"/>
  <c r="AV1" i="3"/>
  <c r="AU1" i="3"/>
  <c r="AT1" i="3"/>
  <c r="AS1" i="3"/>
  <c r="AR1" i="3"/>
  <c r="AQ1" i="3"/>
  <c r="AP1" i="3"/>
  <c r="AO1" i="3"/>
  <c r="AN1" i="3"/>
  <c r="AM1" i="3"/>
  <c r="AL1" i="3"/>
  <c r="AK1" i="3"/>
  <c r="AJ1" i="3"/>
  <c r="AI1" i="3"/>
  <c r="AH1" i="3"/>
  <c r="AG1" i="3"/>
  <c r="AF1" i="3"/>
  <c r="AE1" i="3"/>
  <c r="AD1" i="3"/>
  <c r="AC1" i="3"/>
  <c r="AB1" i="3"/>
  <c r="AA1" i="3"/>
  <c r="Z1" i="3"/>
  <c r="Y1" i="3"/>
  <c r="X1" i="3"/>
  <c r="W1" i="3"/>
  <c r="V1" i="3"/>
  <c r="U1" i="3"/>
  <c r="T1" i="3"/>
  <c r="S1" i="3"/>
  <c r="R1" i="3"/>
  <c r="Q1" i="3"/>
  <c r="P1" i="3"/>
  <c r="O1" i="3"/>
  <c r="N1" i="3"/>
  <c r="M1" i="3"/>
  <c r="L1" i="3"/>
  <c r="K1" i="3"/>
  <c r="J1" i="3"/>
  <c r="I1" i="3"/>
  <c r="H1" i="3"/>
  <c r="G1" i="3"/>
  <c r="F1" i="3"/>
  <c r="E1" i="3"/>
  <c r="D1" i="3"/>
  <c r="C1" i="3"/>
  <c r="BH215" i="2" a="1"/>
  <c r="BH215" i="2" s="1"/>
  <c r="BH208" i="2"/>
  <c r="BI215" i="2"/>
  <c r="BG215" i="2"/>
  <c r="BI208" i="2"/>
  <c r="AH215" i="2"/>
  <c r="AG215" i="2"/>
  <c r="AF215" i="2"/>
  <c r="F215" i="2"/>
  <c r="CL215" i="2" s="1"/>
  <c r="AJ215" i="2" l="1"/>
  <c r="BG208" i="2"/>
  <c r="AU196" i="2" l="1"/>
  <c r="F199" i="2"/>
  <c r="G199" i="2"/>
  <c r="J199" i="2"/>
  <c r="S199" i="2"/>
  <c r="F200" i="2"/>
  <c r="G200" i="2"/>
  <c r="J200" i="2"/>
  <c r="S200" i="2"/>
  <c r="BV200" i="2"/>
  <c r="BV199" i="2"/>
  <c r="BV197" i="2"/>
  <c r="CL197" i="2"/>
  <c r="S198" i="2"/>
  <c r="S208" i="2"/>
  <c r="S209" i="2"/>
  <c r="S210" i="2"/>
  <c r="T211" i="2"/>
  <c r="T212" i="2"/>
  <c r="S213" i="2"/>
  <c r="S214" i="2"/>
  <c r="BU198" i="2"/>
  <c r="AH200" i="2"/>
  <c r="AG200" i="2"/>
  <c r="AF200" i="2"/>
  <c r="AH199" i="2"/>
  <c r="AG199" i="2"/>
  <c r="AF199" i="2"/>
  <c r="AH198" i="2"/>
  <c r="AG198" i="2"/>
  <c r="AF198" i="2"/>
  <c r="AJ198" i="2" s="1"/>
  <c r="J198" i="2"/>
  <c r="G198" i="2"/>
  <c r="F198" i="2"/>
  <c r="CL198" i="2" s="1"/>
  <c r="S212" i="2" l="1"/>
  <c r="CL199" i="2"/>
  <c r="S211" i="2"/>
  <c r="CL200" i="2"/>
  <c r="AJ199" i="2"/>
  <c r="AJ200" i="2"/>
  <c r="F208" i="2" l="1"/>
  <c r="G208" i="2"/>
  <c r="I212" i="2"/>
  <c r="F209" i="2"/>
  <c r="G209" i="2"/>
  <c r="F210" i="2"/>
  <c r="G210" i="2"/>
  <c r="G212" i="2" s="1"/>
  <c r="F213" i="2"/>
  <c r="G213" i="2"/>
  <c r="F214" i="2"/>
  <c r="G214" i="2"/>
  <c r="T83" i="2"/>
  <c r="CL83" i="2" s="1"/>
  <c r="T141" i="2"/>
  <c r="CL141" i="2" s="1"/>
  <c r="T142" i="2"/>
  <c r="CL142" i="2" s="1"/>
  <c r="T144" i="2"/>
  <c r="CL144" i="2" s="1"/>
  <c r="T145" i="2"/>
  <c r="CL145" i="2" s="1"/>
  <c r="T147" i="2"/>
  <c r="CL147" i="2" s="1"/>
  <c r="T148" i="2"/>
  <c r="CL148" i="2" s="1"/>
  <c r="T151" i="2"/>
  <c r="CL151" i="2" s="1"/>
  <c r="T152" i="2"/>
  <c r="CL152" i="2" s="1"/>
  <c r="T153" i="2"/>
  <c r="T154" i="2"/>
  <c r="T155" i="2"/>
  <c r="T156" i="2"/>
  <c r="T157" i="2"/>
  <c r="T158" i="2"/>
  <c r="T159" i="2"/>
  <c r="CL159" i="2" s="1"/>
  <c r="T160" i="2"/>
  <c r="T161" i="2"/>
  <c r="T162" i="2"/>
  <c r="T163" i="2"/>
  <c r="CL163" i="2" s="1"/>
  <c r="T164" i="2"/>
  <c r="CL164" i="2" s="1"/>
  <c r="T165" i="2"/>
  <c r="CL165" i="2" s="1"/>
  <c r="T166" i="2"/>
  <c r="CL166" i="2" s="1"/>
  <c r="T167" i="2"/>
  <c r="CL167" i="2" s="1"/>
  <c r="T168" i="2"/>
  <c r="T169" i="2"/>
  <c r="T170" i="2"/>
  <c r="T171" i="2"/>
  <c r="T172" i="2"/>
  <c r="T173" i="2"/>
  <c r="T174" i="2"/>
  <c r="T175" i="2"/>
  <c r="T176" i="2"/>
  <c r="T253" i="2"/>
  <c r="CA174" i="2"/>
  <c r="CA173" i="2"/>
  <c r="CC174" i="2"/>
  <c r="CB174" i="2"/>
  <c r="BZ174" i="2"/>
  <c r="CC173" i="2"/>
  <c r="CB173" i="2"/>
  <c r="BZ173" i="2"/>
  <c r="F211" i="2" l="1"/>
  <c r="F212" i="2"/>
  <c r="CL174" i="2"/>
  <c r="G211" i="2"/>
  <c r="CL214" i="2"/>
  <c r="CL213" i="2"/>
  <c r="CL173" i="2"/>
  <c r="CL210" i="2"/>
  <c r="CK210" i="2" s="1"/>
  <c r="CL209" i="2"/>
  <c r="H211" i="2"/>
  <c r="I211" i="2"/>
  <c r="H212" i="2"/>
  <c r="CK211" i="2" l="1"/>
  <c r="CK212" i="2"/>
  <c r="AH214" i="2"/>
  <c r="AG214" i="2"/>
  <c r="AF214" i="2"/>
  <c r="AH213" i="2"/>
  <c r="AG213" i="2"/>
  <c r="AF213" i="2"/>
  <c r="AJ214" i="2" l="1"/>
  <c r="AJ213" i="2"/>
  <c r="AI213" i="2"/>
  <c r="AO212" i="2" l="1"/>
  <c r="AS212" i="2"/>
  <c r="AX211" i="2"/>
  <c r="AY212" i="2"/>
  <c r="BB211" i="2"/>
  <c r="BC212" i="2"/>
  <c r="BF208" i="2"/>
  <c r="BF211" i="2" s="1"/>
  <c r="CD212" i="2"/>
  <c r="CC212" i="2"/>
  <c r="CB212" i="2"/>
  <c r="CA212" i="2"/>
  <c r="BZ212" i="2"/>
  <c r="CD211" i="2"/>
  <c r="CC211" i="2"/>
  <c r="CB211" i="2"/>
  <c r="CA211" i="2"/>
  <c r="BZ211" i="2"/>
  <c r="BX212" i="2"/>
  <c r="BW212" i="2"/>
  <c r="BV212" i="2"/>
  <c r="BT212" i="2"/>
  <c r="BS212" i="2"/>
  <c r="BR212" i="2"/>
  <c r="BQ212" i="2"/>
  <c r="BP212" i="2"/>
  <c r="BO212" i="2"/>
  <c r="BN212" i="2"/>
  <c r="BM212" i="2"/>
  <c r="BL212" i="2"/>
  <c r="BX211" i="2"/>
  <c r="BW211" i="2"/>
  <c r="BV211" i="2"/>
  <c r="BT211" i="2"/>
  <c r="BS211" i="2"/>
  <c r="BR211" i="2"/>
  <c r="BQ211" i="2"/>
  <c r="BP211" i="2"/>
  <c r="BO211" i="2"/>
  <c r="BN211" i="2"/>
  <c r="BM211" i="2"/>
  <c r="BL211" i="2"/>
  <c r="BE212" i="2"/>
  <c r="BD212" i="2"/>
  <c r="BB212" i="2"/>
  <c r="BA212" i="2"/>
  <c r="AZ212" i="2"/>
  <c r="AX212" i="2"/>
  <c r="AW212" i="2"/>
  <c r="AV212" i="2"/>
  <c r="BE211" i="2"/>
  <c r="BD211" i="2"/>
  <c r="BC211" i="2"/>
  <c r="BA211" i="2"/>
  <c r="AZ211" i="2"/>
  <c r="AY211" i="2"/>
  <c r="AW211" i="2"/>
  <c r="AV211" i="2"/>
  <c r="AT212" i="2"/>
  <c r="AR212" i="2"/>
  <c r="AQ212" i="2"/>
  <c r="AP212" i="2"/>
  <c r="AN212" i="2"/>
  <c r="AM212" i="2"/>
  <c r="AT211" i="2"/>
  <c r="AR211" i="2"/>
  <c r="AQ211" i="2"/>
  <c r="AP211" i="2"/>
  <c r="AN211" i="2"/>
  <c r="AM211" i="2"/>
  <c r="AI212" i="2"/>
  <c r="AE212" i="2"/>
  <c r="BH212" i="2" s="1"/>
  <c r="AI211" i="2"/>
  <c r="AE211" i="2"/>
  <c r="BH211" i="2" s="1"/>
  <c r="AC212" i="2"/>
  <c r="AB212" i="2"/>
  <c r="AC211" i="2"/>
  <c r="AB211" i="2"/>
  <c r="AH210" i="2"/>
  <c r="AG210" i="2"/>
  <c r="AF210" i="2"/>
  <c r="BI212" i="2" l="1"/>
  <c r="AJ210" i="2"/>
  <c r="CL212" i="2"/>
  <c r="BG212" i="2"/>
  <c r="BF212" i="2"/>
  <c r="CL208" i="2"/>
  <c r="CL211" i="2"/>
  <c r="AO211" i="2"/>
  <c r="AS211" i="2"/>
  <c r="BG211" i="2" l="1"/>
  <c r="BI211" i="2"/>
  <c r="BU209" i="2"/>
  <c r="BU208" i="2"/>
  <c r="AH209" i="2"/>
  <c r="AG209" i="2"/>
  <c r="AF209" i="2"/>
  <c r="AJ209" i="2" l="1"/>
  <c r="BU212" i="2"/>
  <c r="BU211" i="2"/>
  <c r="BI196" i="2" l="1"/>
  <c r="BD196" i="2"/>
  <c r="AW196" i="2"/>
  <c r="AP196" i="2"/>
  <c r="AP195" i="2"/>
  <c r="AH196" i="2"/>
  <c r="AG196" i="2"/>
  <c r="AF196" i="2"/>
  <c r="AJ196" i="2" l="1"/>
  <c r="BG196" i="2"/>
  <c r="CL196" i="2"/>
  <c r="BH196" i="2" a="1"/>
  <c r="BH196" i="2" s="1"/>
  <c r="AI196" i="2"/>
  <c r="BI195" i="2"/>
  <c r="BD195" i="2"/>
  <c r="AY195" i="2"/>
  <c r="AX195" i="2"/>
  <c r="AH195" i="2"/>
  <c r="AG195" i="2"/>
  <c r="AH208" i="2"/>
  <c r="AG208" i="2"/>
  <c r="AF208" i="2"/>
  <c r="AH197" i="2"/>
  <c r="AG197" i="2"/>
  <c r="AF197" i="2"/>
  <c r="AH194" i="2"/>
  <c r="AF194" i="2"/>
  <c r="AH193" i="2"/>
  <c r="AG193" i="2"/>
  <c r="AF193" i="2"/>
  <c r="AH192" i="2"/>
  <c r="AG192" i="2"/>
  <c r="AF192" i="2"/>
  <c r="AH191" i="2"/>
  <c r="AG191" i="2"/>
  <c r="AF191" i="2"/>
  <c r="AH188" i="2"/>
  <c r="AG188" i="2"/>
  <c r="AF188" i="2"/>
  <c r="AH187" i="2"/>
  <c r="AG187" i="2"/>
  <c r="AF187" i="2"/>
  <c r="AH186" i="2"/>
  <c r="AG186" i="2"/>
  <c r="AF186" i="2"/>
  <c r="AH185" i="2"/>
  <c r="AG185" i="2"/>
  <c r="AF185" i="2"/>
  <c r="AH184" i="2"/>
  <c r="AG184" i="2"/>
  <c r="AF184" i="2"/>
  <c r="AH183" i="2"/>
  <c r="AG183" i="2"/>
  <c r="AH176" i="2"/>
  <c r="AG176" i="2"/>
  <c r="AF176" i="2"/>
  <c r="AH175" i="2"/>
  <c r="AG175" i="2"/>
  <c r="AF175" i="2"/>
  <c r="AH174" i="2"/>
  <c r="AG174" i="2"/>
  <c r="AF174" i="2"/>
  <c r="AH173" i="2"/>
  <c r="AG173" i="2"/>
  <c r="AF173" i="2"/>
  <c r="AH172" i="2"/>
  <c r="AG172" i="2"/>
  <c r="AF172" i="2"/>
  <c r="AH171" i="2"/>
  <c r="AG171" i="2"/>
  <c r="AF171" i="2"/>
  <c r="AH170" i="2"/>
  <c r="AG170" i="2"/>
  <c r="AF170" i="2"/>
  <c r="AH169" i="2"/>
  <c r="AG169" i="2"/>
  <c r="AF169" i="2"/>
  <c r="AH168" i="2"/>
  <c r="AG168" i="2"/>
  <c r="AF168" i="2"/>
  <c r="AH167" i="2"/>
  <c r="AG167" i="2"/>
  <c r="AF167" i="2"/>
  <c r="AH166" i="2"/>
  <c r="AG166" i="2"/>
  <c r="AF166" i="2"/>
  <c r="AH165" i="2"/>
  <c r="AG165" i="2"/>
  <c r="AF165" i="2"/>
  <c r="AH164" i="2"/>
  <c r="AG164" i="2"/>
  <c r="AF164" i="2"/>
  <c r="AH163" i="2"/>
  <c r="AG163" i="2"/>
  <c r="AF163" i="2"/>
  <c r="AH162" i="2"/>
  <c r="AG162" i="2"/>
  <c r="AF162" i="2"/>
  <c r="AH161" i="2"/>
  <c r="AG161" i="2"/>
  <c r="AF161" i="2"/>
  <c r="AH160" i="2"/>
  <c r="AG160" i="2"/>
  <c r="AF160" i="2"/>
  <c r="AH159" i="2"/>
  <c r="AG159" i="2"/>
  <c r="AF159" i="2"/>
  <c r="AH158" i="2"/>
  <c r="AG158" i="2"/>
  <c r="AF158" i="2"/>
  <c r="AH157" i="2"/>
  <c r="AG157" i="2"/>
  <c r="AF157" i="2"/>
  <c r="AH156" i="2"/>
  <c r="AG156" i="2"/>
  <c r="AF156" i="2"/>
  <c r="AH155" i="2"/>
  <c r="AG155" i="2"/>
  <c r="AF155" i="2"/>
  <c r="AH154" i="2"/>
  <c r="AG154" i="2"/>
  <c r="AF154" i="2"/>
  <c r="AH153" i="2"/>
  <c r="AG153" i="2"/>
  <c r="AF153" i="2"/>
  <c r="AH152" i="2"/>
  <c r="AG152" i="2"/>
  <c r="AF152" i="2"/>
  <c r="AH151" i="2"/>
  <c r="AG151" i="2"/>
  <c r="AF151" i="2"/>
  <c r="AH148" i="2"/>
  <c r="AG148" i="2"/>
  <c r="AF148" i="2"/>
  <c r="AH147" i="2"/>
  <c r="AG147" i="2"/>
  <c r="AF147" i="2"/>
  <c r="AH146" i="2"/>
  <c r="AG146" i="2"/>
  <c r="AF146" i="2"/>
  <c r="AH145" i="2"/>
  <c r="AG145" i="2"/>
  <c r="AF145" i="2"/>
  <c r="AH144" i="2"/>
  <c r="AG144" i="2"/>
  <c r="AF144" i="2"/>
  <c r="AH143" i="2"/>
  <c r="AG143" i="2"/>
  <c r="AF143" i="2"/>
  <c r="AH142" i="2"/>
  <c r="AG142" i="2"/>
  <c r="AF142" i="2"/>
  <c r="AH141" i="2"/>
  <c r="AG141" i="2"/>
  <c r="AF141" i="2"/>
  <c r="AH138" i="2"/>
  <c r="AG138" i="2"/>
  <c r="AF138" i="2"/>
  <c r="AH137" i="2"/>
  <c r="AG137" i="2"/>
  <c r="AF137" i="2"/>
  <c r="AH136" i="2"/>
  <c r="AG136" i="2"/>
  <c r="AF136" i="2"/>
  <c r="AH135" i="2"/>
  <c r="AG135" i="2"/>
  <c r="AF135" i="2"/>
  <c r="AH134" i="2"/>
  <c r="AG134" i="2"/>
  <c r="AF134" i="2"/>
  <c r="AH133" i="2"/>
  <c r="AG133" i="2"/>
  <c r="AF133" i="2"/>
  <c r="AH132" i="2"/>
  <c r="AG132" i="2"/>
  <c r="AF132" i="2"/>
  <c r="AH131" i="2"/>
  <c r="AG131" i="2"/>
  <c r="AF131" i="2"/>
  <c r="AH130" i="2"/>
  <c r="AG130" i="2"/>
  <c r="AF130" i="2"/>
  <c r="AH129" i="2"/>
  <c r="AG129" i="2"/>
  <c r="AF129" i="2"/>
  <c r="AH128" i="2"/>
  <c r="AG128" i="2"/>
  <c r="AF128" i="2"/>
  <c r="AH127" i="2"/>
  <c r="AG127" i="2"/>
  <c r="AF127" i="2"/>
  <c r="AH126" i="2"/>
  <c r="AG126" i="2"/>
  <c r="AF126" i="2"/>
  <c r="AH104" i="2"/>
  <c r="AG104" i="2"/>
  <c r="AF104" i="2"/>
  <c r="AH103" i="2"/>
  <c r="AG103" i="2"/>
  <c r="AF103" i="2"/>
  <c r="AH102" i="2"/>
  <c r="AG102" i="2"/>
  <c r="AF102" i="2"/>
  <c r="AH99" i="2"/>
  <c r="AG99" i="2"/>
  <c r="AF99" i="2"/>
  <c r="AH98" i="2"/>
  <c r="AG98" i="2"/>
  <c r="AF98" i="2"/>
  <c r="AH97" i="2"/>
  <c r="AG97" i="2"/>
  <c r="AF97" i="2"/>
  <c r="AH96" i="2"/>
  <c r="AG96" i="2"/>
  <c r="AF96" i="2"/>
  <c r="AH95" i="2"/>
  <c r="AG95" i="2"/>
  <c r="AF95" i="2"/>
  <c r="AH94" i="2"/>
  <c r="AG94" i="2"/>
  <c r="AF94" i="2"/>
  <c r="AH93" i="2"/>
  <c r="AG93" i="2"/>
  <c r="AF93" i="2"/>
  <c r="AH92" i="2"/>
  <c r="AG92" i="2"/>
  <c r="AF92" i="2"/>
  <c r="AH91" i="2"/>
  <c r="AG91" i="2"/>
  <c r="AF91" i="2"/>
  <c r="AH90" i="2"/>
  <c r="AG90" i="2"/>
  <c r="AF90" i="2"/>
  <c r="AH89" i="2"/>
  <c r="AG89" i="2"/>
  <c r="AF89" i="2"/>
  <c r="AH88" i="2"/>
  <c r="AG88" i="2"/>
  <c r="AF88" i="2"/>
  <c r="AH87" i="2"/>
  <c r="AG87" i="2"/>
  <c r="AF87" i="2"/>
  <c r="AH86" i="2"/>
  <c r="AG86" i="2"/>
  <c r="AF86" i="2"/>
  <c r="AH85" i="2"/>
  <c r="AG85" i="2"/>
  <c r="AF85" i="2"/>
  <c r="AH84" i="2"/>
  <c r="AG84" i="2"/>
  <c r="AF84" i="2"/>
  <c r="AH83" i="2"/>
  <c r="AG83" i="2"/>
  <c r="AF83" i="2"/>
  <c r="AH82" i="2"/>
  <c r="AG82" i="2"/>
  <c r="AF82" i="2"/>
  <c r="AH81" i="2"/>
  <c r="AG81" i="2"/>
  <c r="AF81" i="2"/>
  <c r="AH80" i="2"/>
  <c r="AG80" i="2"/>
  <c r="AF80" i="2"/>
  <c r="AH79" i="2"/>
  <c r="AG79" i="2"/>
  <c r="AF79" i="2"/>
  <c r="AH78" i="2"/>
  <c r="AG78" i="2"/>
  <c r="AF78" i="2"/>
  <c r="AH77" i="2"/>
  <c r="AG77" i="2"/>
  <c r="AF77" i="2"/>
  <c r="AH76" i="2"/>
  <c r="AG76" i="2"/>
  <c r="AF76" i="2"/>
  <c r="AH75" i="2"/>
  <c r="AG75" i="2"/>
  <c r="AF75" i="2"/>
  <c r="AH74" i="2"/>
  <c r="AG74" i="2"/>
  <c r="AF74" i="2"/>
  <c r="AH73" i="2"/>
  <c r="AG73" i="2"/>
  <c r="AF73" i="2"/>
  <c r="AH72" i="2"/>
  <c r="AG72" i="2"/>
  <c r="AF72" i="2"/>
  <c r="AH71" i="2"/>
  <c r="AG71" i="2"/>
  <c r="AF71" i="2"/>
  <c r="AH70" i="2"/>
  <c r="AG70" i="2"/>
  <c r="AF70" i="2"/>
  <c r="AH69" i="2"/>
  <c r="AG69" i="2"/>
  <c r="AF69" i="2"/>
  <c r="AH68" i="2"/>
  <c r="AG68" i="2"/>
  <c r="AF68" i="2"/>
  <c r="AJ68" i="2" s="1"/>
  <c r="AH67" i="2"/>
  <c r="AG67" i="2"/>
  <c r="AF67" i="2"/>
  <c r="AH64" i="2"/>
  <c r="AG64" i="2"/>
  <c r="AF64" i="2"/>
  <c r="AH63" i="2"/>
  <c r="AG63" i="2"/>
  <c r="AF63" i="2"/>
  <c r="AJ63" i="2" s="1"/>
  <c r="AH62" i="2"/>
  <c r="AG62" i="2"/>
  <c r="AF62" i="2"/>
  <c r="AH59" i="2"/>
  <c r="AG59" i="2"/>
  <c r="AF59" i="2"/>
  <c r="AH58" i="2"/>
  <c r="AG58" i="2"/>
  <c r="AF58" i="2"/>
  <c r="AH57" i="2"/>
  <c r="AG57" i="2"/>
  <c r="AF57" i="2"/>
  <c r="AH56" i="2"/>
  <c r="AG56" i="2"/>
  <c r="AF56" i="2"/>
  <c r="AH55" i="2"/>
  <c r="AG55" i="2"/>
  <c r="AF55" i="2"/>
  <c r="AH54" i="2"/>
  <c r="AG54" i="2"/>
  <c r="AF54" i="2"/>
  <c r="AF179" i="2"/>
  <c r="AF180" i="2"/>
  <c r="AF183" i="2"/>
  <c r="AF195" i="2"/>
  <c r="AJ195" i="2" l="1"/>
  <c r="AI194" i="2"/>
  <c r="AJ70" i="2"/>
  <c r="AJ69" i="2"/>
  <c r="AJ73" i="2"/>
  <c r="AJ77" i="2"/>
  <c r="AJ81" i="2"/>
  <c r="AJ97" i="2"/>
  <c r="AJ128" i="2"/>
  <c r="AJ136" i="2"/>
  <c r="AI185" i="2"/>
  <c r="CL195" i="2"/>
  <c r="BH195" i="2" a="1"/>
  <c r="BH195" i="2" s="1"/>
  <c r="AJ134" i="2"/>
  <c r="BG195" i="2"/>
  <c r="AJ74" i="2"/>
  <c r="AJ78" i="2"/>
  <c r="AJ86" i="2"/>
  <c r="AJ90" i="2"/>
  <c r="AJ137" i="2"/>
  <c r="AI88" i="2"/>
  <c r="AI96" i="2"/>
  <c r="AI135" i="2"/>
  <c r="AI131" i="2"/>
  <c r="AJ62" i="2"/>
  <c r="AJ85" i="2"/>
  <c r="AJ103" i="2"/>
  <c r="AJ132" i="2"/>
  <c r="AI85" i="2"/>
  <c r="AI132" i="2"/>
  <c r="AJ104" i="2"/>
  <c r="AI77" i="2"/>
  <c r="AI59" i="2"/>
  <c r="AJ92" i="2"/>
  <c r="AJ131" i="2"/>
  <c r="AJ135" i="2"/>
  <c r="AI186" i="2"/>
  <c r="AJ58" i="2"/>
  <c r="AJ56" i="2"/>
  <c r="AJ59" i="2"/>
  <c r="AI62" i="2"/>
  <c r="AI69" i="2"/>
  <c r="AI80" i="2"/>
  <c r="AJ84" i="2"/>
  <c r="AJ89" i="2"/>
  <c r="AJ93" i="2"/>
  <c r="AJ94" i="2"/>
  <c r="AJ98" i="2"/>
  <c r="AJ126" i="2"/>
  <c r="AJ130" i="2"/>
  <c r="AI136" i="2"/>
  <c r="AI188" i="2"/>
  <c r="AJ185" i="2"/>
  <c r="AJ187" i="2"/>
  <c r="AI193" i="2"/>
  <c r="AI56" i="2"/>
  <c r="AI72" i="2"/>
  <c r="AJ82" i="2"/>
  <c r="AJ87" i="2"/>
  <c r="AI93" i="2"/>
  <c r="AI127" i="2"/>
  <c r="AJ184" i="2"/>
  <c r="AJ197" i="2"/>
  <c r="AI82" i="2"/>
  <c r="AI90" i="2"/>
  <c r="AI98" i="2"/>
  <c r="AI126" i="2"/>
  <c r="AI129" i="2"/>
  <c r="AJ188" i="2"/>
  <c r="AF211" i="2"/>
  <c r="AF212" i="2"/>
  <c r="AJ194" i="2"/>
  <c r="AI74" i="2"/>
  <c r="AJ71" i="2"/>
  <c r="AI76" i="2"/>
  <c r="AI79" i="2"/>
  <c r="AJ95" i="2"/>
  <c r="AJ102" i="2"/>
  <c r="AI128" i="2"/>
  <c r="AI134" i="2"/>
  <c r="AI137" i="2"/>
  <c r="AI187" i="2"/>
  <c r="AJ193" i="2"/>
  <c r="AJ208" i="2"/>
  <c r="AK208" i="2" s="1"/>
  <c r="AG211" i="2"/>
  <c r="AG212" i="2"/>
  <c r="AJ64" i="2"/>
  <c r="AJ55" i="2"/>
  <c r="AJ57" i="2"/>
  <c r="AI63" i="2"/>
  <c r="AJ67" i="2"/>
  <c r="AJ72" i="2"/>
  <c r="AJ75" i="2"/>
  <c r="AJ80" i="2"/>
  <c r="AJ83" i="2"/>
  <c r="AJ88" i="2"/>
  <c r="AJ91" i="2"/>
  <c r="AJ96" i="2"/>
  <c r="AJ99" i="2"/>
  <c r="AI103" i="2"/>
  <c r="AJ127" i="2"/>
  <c r="AJ129" i="2"/>
  <c r="AI133" i="2"/>
  <c r="AJ138" i="2"/>
  <c r="AI184" i="2"/>
  <c r="AI191" i="2"/>
  <c r="AJ192" i="2"/>
  <c r="AH212" i="2"/>
  <c r="AH211" i="2"/>
  <c r="AI197" i="2"/>
  <c r="AJ191" i="2"/>
  <c r="AI192" i="2"/>
  <c r="AJ186" i="2"/>
  <c r="AI130" i="2"/>
  <c r="AJ133" i="2"/>
  <c r="AI138" i="2"/>
  <c r="AI102" i="2"/>
  <c r="AI104" i="2"/>
  <c r="AI95" i="2"/>
  <c r="AJ79" i="2"/>
  <c r="AI84" i="2"/>
  <c r="AI92" i="2"/>
  <c r="AI68" i="2"/>
  <c r="AI73" i="2"/>
  <c r="AJ76" i="2"/>
  <c r="AI81" i="2"/>
  <c r="AI89" i="2"/>
  <c r="AI97" i="2"/>
  <c r="AI70" i="2"/>
  <c r="AI78" i="2"/>
  <c r="AI86" i="2"/>
  <c r="AI94" i="2"/>
  <c r="AI71" i="2"/>
  <c r="AI87" i="2"/>
  <c r="AI67" i="2"/>
  <c r="AI75" i="2"/>
  <c r="AI83" i="2"/>
  <c r="AI91" i="2"/>
  <c r="AI99" i="2"/>
  <c r="AI64" i="2"/>
  <c r="AI58" i="2"/>
  <c r="AI55" i="2"/>
  <c r="AI57" i="2"/>
  <c r="AJ211" i="2" l="1"/>
  <c r="AJ212" i="2"/>
  <c r="CC253" i="2" l="1"/>
  <c r="AF13" i="2"/>
  <c r="AG13" i="2"/>
  <c r="AF9" i="2"/>
  <c r="AG9" i="2"/>
  <c r="AH180" i="2"/>
  <c r="AH179" i="2"/>
  <c r="AJ161" i="2"/>
  <c r="AJ152" i="2"/>
  <c r="AJ151" i="2"/>
  <c r="AA104" i="2"/>
  <c r="Z104" i="2"/>
  <c r="Y104" i="2"/>
  <c r="X104" i="2"/>
  <c r="W104" i="2"/>
  <c r="AA103" i="2"/>
  <c r="Z103" i="2"/>
  <c r="Y103" i="2"/>
  <c r="X103" i="2"/>
  <c r="W103" i="2"/>
  <c r="AA102" i="2"/>
  <c r="Z102" i="2"/>
  <c r="Y102" i="2"/>
  <c r="X102" i="2"/>
  <c r="W102" i="2"/>
  <c r="AA99" i="2"/>
  <c r="Z99" i="2"/>
  <c r="Y99" i="2"/>
  <c r="X99" i="2"/>
  <c r="W99" i="2"/>
  <c r="AA98" i="2"/>
  <c r="Z98" i="2"/>
  <c r="Y98" i="2"/>
  <c r="X98" i="2"/>
  <c r="W98" i="2"/>
  <c r="AA97" i="2"/>
  <c r="Z97" i="2"/>
  <c r="Y97" i="2"/>
  <c r="X97" i="2"/>
  <c r="W97" i="2"/>
  <c r="AA96" i="2"/>
  <c r="Z96" i="2"/>
  <c r="Y96" i="2"/>
  <c r="X96" i="2"/>
  <c r="W96" i="2"/>
  <c r="AA95" i="2"/>
  <c r="Z95" i="2"/>
  <c r="Y95" i="2"/>
  <c r="X95" i="2"/>
  <c r="W95" i="2"/>
  <c r="AA94" i="2"/>
  <c r="Z94" i="2"/>
  <c r="Y94" i="2"/>
  <c r="X94" i="2"/>
  <c r="W94" i="2"/>
  <c r="AA93" i="2"/>
  <c r="Z93" i="2"/>
  <c r="Y93" i="2"/>
  <c r="X93" i="2"/>
  <c r="W93" i="2"/>
  <c r="CL93" i="2" s="1"/>
  <c r="AA92" i="2"/>
  <c r="Z92" i="2"/>
  <c r="Y92" i="2"/>
  <c r="X92" i="2"/>
  <c r="W92" i="2"/>
  <c r="AA91" i="2"/>
  <c r="Z91" i="2"/>
  <c r="Y91" i="2"/>
  <c r="X91" i="2"/>
  <c r="W91" i="2"/>
  <c r="AA90" i="2"/>
  <c r="Z90" i="2"/>
  <c r="Y90" i="2"/>
  <c r="X90" i="2"/>
  <c r="W90" i="2"/>
  <c r="AA89" i="2"/>
  <c r="Z89" i="2"/>
  <c r="Y89" i="2"/>
  <c r="X89" i="2"/>
  <c r="W89" i="2"/>
  <c r="AA88" i="2"/>
  <c r="Z88" i="2"/>
  <c r="Y88" i="2"/>
  <c r="X88" i="2"/>
  <c r="W88" i="2"/>
  <c r="AA87" i="2"/>
  <c r="Z87" i="2"/>
  <c r="Y87" i="2"/>
  <c r="X87" i="2"/>
  <c r="W87" i="2"/>
  <c r="AA86" i="2"/>
  <c r="Z86" i="2"/>
  <c r="Y86" i="2"/>
  <c r="X86" i="2"/>
  <c r="W86" i="2"/>
  <c r="AA85" i="2"/>
  <c r="Z85" i="2"/>
  <c r="Y85" i="2"/>
  <c r="X85" i="2"/>
  <c r="W85" i="2"/>
  <c r="AA84" i="2"/>
  <c r="Z84" i="2"/>
  <c r="Y84" i="2"/>
  <c r="X84" i="2"/>
  <c r="W84" i="2"/>
  <c r="AA82" i="2"/>
  <c r="Z82" i="2"/>
  <c r="Y82" i="2"/>
  <c r="X82" i="2"/>
  <c r="W82" i="2"/>
  <c r="AA81" i="2"/>
  <c r="Z81" i="2"/>
  <c r="Y81" i="2"/>
  <c r="X81" i="2"/>
  <c r="W81" i="2"/>
  <c r="Z80" i="2"/>
  <c r="Y80" i="2"/>
  <c r="X80" i="2"/>
  <c r="W80" i="2"/>
  <c r="Z79" i="2"/>
  <c r="Y79" i="2"/>
  <c r="X79" i="2"/>
  <c r="W79" i="2"/>
  <c r="Z78" i="2"/>
  <c r="Y78" i="2"/>
  <c r="X78" i="2"/>
  <c r="W78" i="2"/>
  <c r="Z77" i="2"/>
  <c r="Y77" i="2"/>
  <c r="X77" i="2"/>
  <c r="W77" i="2"/>
  <c r="Z76" i="2"/>
  <c r="Y76" i="2"/>
  <c r="X76" i="2"/>
  <c r="W76" i="2"/>
  <c r="Z75" i="2"/>
  <c r="Y75" i="2"/>
  <c r="X75" i="2"/>
  <c r="W75" i="2"/>
  <c r="Z74" i="2"/>
  <c r="Y74" i="2"/>
  <c r="X74" i="2"/>
  <c r="W74" i="2"/>
  <c r="Z73" i="2"/>
  <c r="Y73" i="2"/>
  <c r="X73" i="2"/>
  <c r="W73" i="2"/>
  <c r="Z72" i="2"/>
  <c r="Y72" i="2"/>
  <c r="X72" i="2"/>
  <c r="W72" i="2"/>
  <c r="Z71" i="2"/>
  <c r="Y71" i="2"/>
  <c r="X71" i="2"/>
  <c r="W71" i="2"/>
  <c r="Z70" i="2"/>
  <c r="Y70" i="2"/>
  <c r="X70" i="2"/>
  <c r="W70" i="2"/>
  <c r="Z69" i="2"/>
  <c r="Y69" i="2"/>
  <c r="X69" i="2"/>
  <c r="W69" i="2"/>
  <c r="Z68" i="2"/>
  <c r="Y68" i="2"/>
  <c r="X68" i="2"/>
  <c r="W68" i="2"/>
  <c r="Z67" i="2"/>
  <c r="Y67" i="2"/>
  <c r="X67" i="2"/>
  <c r="W67" i="2"/>
  <c r="Z64" i="2"/>
  <c r="Y64" i="2"/>
  <c r="X64" i="2"/>
  <c r="W64" i="2"/>
  <c r="Z63" i="2"/>
  <c r="Y63" i="2"/>
  <c r="X63" i="2"/>
  <c r="W63" i="2"/>
  <c r="Z62" i="2"/>
  <c r="Y62" i="2"/>
  <c r="X62" i="2"/>
  <c r="W62" i="2"/>
  <c r="Z59" i="2"/>
  <c r="Y59" i="2"/>
  <c r="X59" i="2"/>
  <c r="W59" i="2"/>
  <c r="Z58" i="2"/>
  <c r="Y58" i="2"/>
  <c r="X58" i="2"/>
  <c r="W58" i="2"/>
  <c r="Z57" i="2"/>
  <c r="Y57" i="2"/>
  <c r="X57" i="2"/>
  <c r="W57" i="2"/>
  <c r="Z56" i="2"/>
  <c r="Y56" i="2"/>
  <c r="X56" i="2"/>
  <c r="W56" i="2"/>
  <c r="Z55" i="2"/>
  <c r="Y55" i="2"/>
  <c r="X55" i="2"/>
  <c r="W55" i="2"/>
  <c r="Z54" i="2"/>
  <c r="Y54" i="2"/>
  <c r="X54" i="2"/>
  <c r="W54" i="2"/>
  <c r="AH51" i="2"/>
  <c r="AG51" i="2"/>
  <c r="AF51" i="2"/>
  <c r="AH50" i="2"/>
  <c r="AG50" i="2"/>
  <c r="AF50" i="2"/>
  <c r="AH49" i="2"/>
  <c r="AG49" i="2"/>
  <c r="AF49" i="2"/>
  <c r="AH48" i="2"/>
  <c r="AG48" i="2"/>
  <c r="AF48" i="2"/>
  <c r="AH47" i="2"/>
  <c r="AG47" i="2"/>
  <c r="AF47" i="2"/>
  <c r="AH46" i="2"/>
  <c r="AG46" i="2"/>
  <c r="AF46" i="2"/>
  <c r="AH45" i="2"/>
  <c r="AG45" i="2"/>
  <c r="AF45" i="2"/>
  <c r="AH44" i="2"/>
  <c r="AG44" i="2"/>
  <c r="AF44" i="2"/>
  <c r="AH43" i="2"/>
  <c r="AG43" i="2"/>
  <c r="AF43" i="2"/>
  <c r="AH42" i="2"/>
  <c r="AG42" i="2"/>
  <c r="AF42" i="2"/>
  <c r="AH41" i="2"/>
  <c r="AG41" i="2"/>
  <c r="AF41" i="2"/>
  <c r="AH40" i="2"/>
  <c r="AG40" i="2"/>
  <c r="AF40" i="2"/>
  <c r="AJ40" i="2" s="1"/>
  <c r="AH39" i="2"/>
  <c r="AG39" i="2"/>
  <c r="AF39" i="2"/>
  <c r="AH38" i="2"/>
  <c r="AG38" i="2"/>
  <c r="AF38" i="2"/>
  <c r="AH37" i="2"/>
  <c r="AG37" i="2"/>
  <c r="AF37" i="2"/>
  <c r="AH36" i="2"/>
  <c r="AG36" i="2"/>
  <c r="AF36" i="2"/>
  <c r="AJ36" i="2" s="1"/>
  <c r="AH35" i="2"/>
  <c r="AG35" i="2"/>
  <c r="AF35" i="2"/>
  <c r="AH34" i="2"/>
  <c r="AG34" i="2"/>
  <c r="AF34" i="2"/>
  <c r="AH33" i="2"/>
  <c r="AG33" i="2"/>
  <c r="AF33" i="2"/>
  <c r="AH32" i="2"/>
  <c r="AG32" i="2"/>
  <c r="AF32" i="2"/>
  <c r="AJ32" i="2" s="1"/>
  <c r="AH31" i="2"/>
  <c r="AG31" i="2"/>
  <c r="AF31" i="2"/>
  <c r="AH30" i="2"/>
  <c r="AG30" i="2"/>
  <c r="AF30" i="2"/>
  <c r="AH29" i="2"/>
  <c r="AG29" i="2"/>
  <c r="AF29" i="2"/>
  <c r="AH28" i="2"/>
  <c r="AG28" i="2"/>
  <c r="AF28" i="2"/>
  <c r="AH27" i="2"/>
  <c r="AG27" i="2"/>
  <c r="AF27" i="2"/>
  <c r="AH26" i="2"/>
  <c r="AG26" i="2"/>
  <c r="AF26" i="2"/>
  <c r="AH25" i="2"/>
  <c r="AG25" i="2"/>
  <c r="AF25" i="2"/>
  <c r="AH24" i="2"/>
  <c r="AG24" i="2"/>
  <c r="AF24" i="2"/>
  <c r="AH23" i="2"/>
  <c r="AG23" i="2"/>
  <c r="AF23" i="2"/>
  <c r="AH22" i="2"/>
  <c r="AG22" i="2"/>
  <c r="AF22" i="2"/>
  <c r="AH21" i="2"/>
  <c r="AG21" i="2"/>
  <c r="AF21" i="2"/>
  <c r="AH20" i="2"/>
  <c r="AG20" i="2"/>
  <c r="AF20" i="2"/>
  <c r="AJ20" i="2" s="1"/>
  <c r="AH19" i="2"/>
  <c r="AG19" i="2"/>
  <c r="AF19" i="2"/>
  <c r="AH18" i="2"/>
  <c r="AG18" i="2"/>
  <c r="AF18" i="2"/>
  <c r="Z51" i="2"/>
  <c r="Y51" i="2"/>
  <c r="X51" i="2"/>
  <c r="W51" i="2"/>
  <c r="Z50" i="2"/>
  <c r="Y50" i="2"/>
  <c r="X50" i="2"/>
  <c r="W50" i="2"/>
  <c r="Z49" i="2"/>
  <c r="Y49" i="2"/>
  <c r="X49" i="2"/>
  <c r="W49" i="2"/>
  <c r="Z48" i="2"/>
  <c r="Y48" i="2"/>
  <c r="X48" i="2"/>
  <c r="W48" i="2"/>
  <c r="Z47" i="2"/>
  <c r="Y47" i="2"/>
  <c r="X47" i="2"/>
  <c r="W47" i="2"/>
  <c r="Z46" i="2"/>
  <c r="Y46" i="2"/>
  <c r="X46" i="2"/>
  <c r="W46" i="2"/>
  <c r="Z45" i="2"/>
  <c r="Y45" i="2"/>
  <c r="X45" i="2"/>
  <c r="W45" i="2"/>
  <c r="Z44" i="2"/>
  <c r="Y44" i="2"/>
  <c r="X44" i="2"/>
  <c r="W44" i="2"/>
  <c r="Z43" i="2"/>
  <c r="Y43" i="2"/>
  <c r="X43" i="2"/>
  <c r="W43" i="2"/>
  <c r="Z42" i="2"/>
  <c r="Y42" i="2"/>
  <c r="X42" i="2"/>
  <c r="W42" i="2"/>
  <c r="Z41" i="2"/>
  <c r="Y41" i="2"/>
  <c r="X41" i="2"/>
  <c r="W41" i="2"/>
  <c r="Z40" i="2"/>
  <c r="Y40" i="2"/>
  <c r="X40" i="2"/>
  <c r="W40" i="2"/>
  <c r="Z39" i="2"/>
  <c r="Y39" i="2"/>
  <c r="X39" i="2"/>
  <c r="W39" i="2"/>
  <c r="Z38" i="2"/>
  <c r="Y38" i="2"/>
  <c r="X38" i="2"/>
  <c r="W38" i="2"/>
  <c r="Z37" i="2"/>
  <c r="Y37" i="2"/>
  <c r="X37" i="2"/>
  <c r="W37" i="2"/>
  <c r="Z36" i="2"/>
  <c r="Y36" i="2"/>
  <c r="X36" i="2"/>
  <c r="W36" i="2"/>
  <c r="Z35" i="2"/>
  <c r="Y35" i="2"/>
  <c r="X35" i="2"/>
  <c r="W35" i="2"/>
  <c r="Z34" i="2"/>
  <c r="Y34" i="2"/>
  <c r="X34" i="2"/>
  <c r="W34" i="2"/>
  <c r="Z33" i="2"/>
  <c r="Y33" i="2"/>
  <c r="X33" i="2"/>
  <c r="W33" i="2"/>
  <c r="Z32" i="2"/>
  <c r="Y32" i="2"/>
  <c r="X32" i="2"/>
  <c r="W32" i="2"/>
  <c r="Z31" i="2"/>
  <c r="Y31" i="2"/>
  <c r="X31" i="2"/>
  <c r="W31" i="2"/>
  <c r="Z30" i="2"/>
  <c r="Y30" i="2"/>
  <c r="X30" i="2"/>
  <c r="W30" i="2"/>
  <c r="Z29" i="2"/>
  <c r="Y29" i="2"/>
  <c r="X29" i="2"/>
  <c r="W29" i="2"/>
  <c r="Z28" i="2"/>
  <c r="Y28" i="2"/>
  <c r="X28" i="2"/>
  <c r="W28" i="2"/>
  <c r="Z27" i="2"/>
  <c r="Y27" i="2"/>
  <c r="X27" i="2"/>
  <c r="W27" i="2"/>
  <c r="Z26" i="2"/>
  <c r="Y26" i="2"/>
  <c r="X26" i="2"/>
  <c r="W26" i="2"/>
  <c r="Z25" i="2"/>
  <c r="Y25" i="2"/>
  <c r="X25" i="2"/>
  <c r="W25" i="2"/>
  <c r="Z24" i="2"/>
  <c r="Y24" i="2"/>
  <c r="X24" i="2"/>
  <c r="W24" i="2"/>
  <c r="Z23" i="2"/>
  <c r="Y23" i="2"/>
  <c r="X23" i="2"/>
  <c r="W23" i="2"/>
  <c r="Z22" i="2"/>
  <c r="Y22" i="2"/>
  <c r="X22" i="2"/>
  <c r="W22" i="2"/>
  <c r="Z21" i="2"/>
  <c r="Y21" i="2"/>
  <c r="X21" i="2"/>
  <c r="W21" i="2"/>
  <c r="Z20" i="2"/>
  <c r="Y20" i="2"/>
  <c r="X20" i="2"/>
  <c r="W20" i="2"/>
  <c r="Z19" i="2"/>
  <c r="Y19" i="2"/>
  <c r="X19" i="2"/>
  <c r="W19" i="2"/>
  <c r="Z18" i="2"/>
  <c r="Y18" i="2"/>
  <c r="X18" i="2"/>
  <c r="W18" i="2"/>
  <c r="AH15" i="2"/>
  <c r="AG15" i="2"/>
  <c r="AF15" i="2"/>
  <c r="AH14" i="2"/>
  <c r="AG14" i="2"/>
  <c r="AF14" i="2"/>
  <c r="AH13" i="2"/>
  <c r="AH12" i="2"/>
  <c r="AG12" i="2"/>
  <c r="AF12" i="2"/>
  <c r="AJ12" i="2" s="1"/>
  <c r="AH11" i="2"/>
  <c r="AG11" i="2"/>
  <c r="AF11" i="2"/>
  <c r="AH10" i="2"/>
  <c r="AG10" i="2"/>
  <c r="AF10" i="2"/>
  <c r="AH9" i="2"/>
  <c r="Z15" i="2"/>
  <c r="Y15" i="2"/>
  <c r="X15" i="2"/>
  <c r="W15" i="2"/>
  <c r="Z14" i="2"/>
  <c r="Y14" i="2"/>
  <c r="X14" i="2"/>
  <c r="W14" i="2"/>
  <c r="Z13" i="2"/>
  <c r="Y13" i="2"/>
  <c r="X13" i="2"/>
  <c r="W13" i="2"/>
  <c r="Z12" i="2"/>
  <c r="Y12" i="2"/>
  <c r="X12" i="2"/>
  <c r="W12" i="2"/>
  <c r="Z11" i="2"/>
  <c r="Y11" i="2"/>
  <c r="X11" i="2"/>
  <c r="W11" i="2"/>
  <c r="Z10" i="2"/>
  <c r="Y10" i="2"/>
  <c r="X10" i="2"/>
  <c r="W10" i="2"/>
  <c r="Z9" i="2"/>
  <c r="Y9" i="2"/>
  <c r="X9" i="2"/>
  <c r="W9" i="2"/>
  <c r="AH8" i="2"/>
  <c r="AG8" i="2"/>
  <c r="AF8" i="2"/>
  <c r="Z8" i="2"/>
  <c r="Y8" i="2"/>
  <c r="X8" i="2"/>
  <c r="W8" i="2"/>
  <c r="E251" i="2"/>
  <c r="E245" i="2"/>
  <c r="BX251" i="2"/>
  <c r="BQ249" i="2"/>
  <c r="BP249" i="2"/>
  <c r="BN249" i="2"/>
  <c r="BM249" i="2"/>
  <c r="BL249" i="2"/>
  <c r="BL248" i="2"/>
  <c r="BN247" i="2"/>
  <c r="BM247" i="2"/>
  <c r="BN246" i="2"/>
  <c r="BL246" i="2"/>
  <c r="BO244" i="2"/>
  <c r="BO243" i="2"/>
  <c r="BO241" i="2"/>
  <c r="BL232" i="2"/>
  <c r="BN240" i="2"/>
  <c r="BQ239" i="2"/>
  <c r="BM237" i="2"/>
  <c r="BM236" i="2"/>
  <c r="BL235" i="2"/>
  <c r="BL234" i="2"/>
  <c r="BL233" i="2"/>
  <c r="BV230" i="2"/>
  <c r="BN230" i="2"/>
  <c r="BL230" i="2"/>
  <c r="BN229" i="2"/>
  <c r="BL229" i="2"/>
  <c r="BQ228" i="2"/>
  <c r="BV228" i="2"/>
  <c r="BN228" i="2"/>
  <c r="BM228" i="2"/>
  <c r="BL228" i="2"/>
  <c r="BN227" i="2"/>
  <c r="BL227" i="2"/>
  <c r="BV226" i="2"/>
  <c r="AJ159" i="2"/>
  <c r="AG190" i="2"/>
  <c r="AG182" i="2"/>
  <c r="AG150" i="2"/>
  <c r="AH190" i="2"/>
  <c r="AF190" i="2"/>
  <c r="AH182" i="2"/>
  <c r="AF182" i="2"/>
  <c r="AH150" i="2"/>
  <c r="AF150" i="2"/>
  <c r="BR148" i="2"/>
  <c r="BR166" i="2"/>
  <c r="BR167" i="2"/>
  <c r="BR168" i="2"/>
  <c r="BR169" i="2"/>
  <c r="BR170" i="2"/>
  <c r="BR171" i="2"/>
  <c r="BR172" i="2"/>
  <c r="BR173" i="2"/>
  <c r="BR174" i="2"/>
  <c r="B1" i="3"/>
  <c r="L192" i="2"/>
  <c r="F192" i="2"/>
  <c r="CL192" i="2" s="1"/>
  <c r="CK192" i="2" s="1"/>
  <c r="D48" i="3"/>
  <c r="D47" i="3"/>
  <c r="D46" i="3"/>
  <c r="D45" i="3"/>
  <c r="D44" i="3"/>
  <c r="D43" i="3"/>
  <c r="D42" i="3"/>
  <c r="B49" i="3"/>
  <c r="B45" i="3"/>
  <c r="B30" i="3"/>
  <c r="D17" i="3"/>
  <c r="D18" i="3"/>
  <c r="D19" i="3"/>
  <c r="D20" i="3"/>
  <c r="D16" i="3"/>
  <c r="B5" i="3"/>
  <c r="BK5" i="3" s="1"/>
  <c r="B6" i="3"/>
  <c r="CB6" i="3" s="1"/>
  <c r="BP7" i="3"/>
  <c r="AD8" i="3"/>
  <c r="AC9" i="3"/>
  <c r="AW10" i="3"/>
  <c r="AW22" i="3" s="1"/>
  <c r="B23" i="3"/>
  <c r="AY12" i="3"/>
  <c r="F13" i="3"/>
  <c r="B4" i="3"/>
  <c r="B16" i="3" s="1"/>
  <c r="B26" i="3"/>
  <c r="AY9" i="3"/>
  <c r="AT8" i="3"/>
  <c r="CL176" i="2"/>
  <c r="CL175" i="2"/>
  <c r="CL172" i="2"/>
  <c r="CL171" i="2"/>
  <c r="CL170" i="2"/>
  <c r="CL169" i="2"/>
  <c r="CL168" i="2"/>
  <c r="CL162" i="2"/>
  <c r="CL161" i="2"/>
  <c r="CL160" i="2"/>
  <c r="CL158" i="2"/>
  <c r="CL157" i="2"/>
  <c r="CL156" i="2"/>
  <c r="CL155" i="2"/>
  <c r="CL154" i="2"/>
  <c r="CL153" i="2"/>
  <c r="AU146" i="2"/>
  <c r="AP146" i="2"/>
  <c r="AY131" i="2"/>
  <c r="AP131" i="2"/>
  <c r="AJ39" i="2" l="1"/>
  <c r="CL55" i="2"/>
  <c r="CL146" i="2"/>
  <c r="CL63" i="2"/>
  <c r="CL71" i="2"/>
  <c r="CL85" i="2"/>
  <c r="CL57" i="2"/>
  <c r="CL67" i="2"/>
  <c r="CL73" i="2"/>
  <c r="CL103" i="2"/>
  <c r="CL59" i="2"/>
  <c r="CL69" i="2"/>
  <c r="CL75" i="2"/>
  <c r="CL131" i="2"/>
  <c r="CL8" i="2"/>
  <c r="CL19" i="2"/>
  <c r="CL21" i="2"/>
  <c r="CL23" i="2"/>
  <c r="CL25" i="2"/>
  <c r="CL27" i="2"/>
  <c r="CL29" i="2"/>
  <c r="CL31" i="2"/>
  <c r="CL33" i="2"/>
  <c r="CL35" i="2"/>
  <c r="CL37" i="2"/>
  <c r="CL39" i="2"/>
  <c r="CL41" i="2"/>
  <c r="CL43" i="2"/>
  <c r="CL45" i="2"/>
  <c r="CL47" i="2"/>
  <c r="CL49" i="2"/>
  <c r="CL51" i="2"/>
  <c r="CL84" i="2"/>
  <c r="CL92" i="2"/>
  <c r="CL102" i="2"/>
  <c r="CL77" i="2"/>
  <c r="CL79" i="2"/>
  <c r="CL81" i="2"/>
  <c r="CL90" i="2"/>
  <c r="CL98" i="2"/>
  <c r="CL9" i="2"/>
  <c r="CL11" i="2"/>
  <c r="CL13" i="2"/>
  <c r="CL15" i="2"/>
  <c r="CL87" i="2"/>
  <c r="CL95" i="2"/>
  <c r="F56" i="1"/>
  <c r="F48" i="1"/>
  <c r="F54" i="1"/>
  <c r="F55" i="1"/>
  <c r="F47" i="1"/>
  <c r="F53" i="1"/>
  <c r="F52" i="1"/>
  <c r="F59" i="1"/>
  <c r="F51" i="1"/>
  <c r="F58" i="1"/>
  <c r="F50" i="1"/>
  <c r="F57" i="1"/>
  <c r="F49" i="1"/>
  <c r="F60" i="1"/>
  <c r="CL18" i="2"/>
  <c r="CL20" i="2"/>
  <c r="CL22" i="2"/>
  <c r="CL24" i="2"/>
  <c r="CL26" i="2"/>
  <c r="CL28" i="2"/>
  <c r="CL30" i="2"/>
  <c r="CL32" i="2"/>
  <c r="CL34" i="2"/>
  <c r="CL36" i="2"/>
  <c r="CL38" i="2"/>
  <c r="CL40" i="2"/>
  <c r="CL42" i="2"/>
  <c r="CL44" i="2"/>
  <c r="CL46" i="2"/>
  <c r="CL48" i="2"/>
  <c r="CL50" i="2"/>
  <c r="CL88" i="2"/>
  <c r="CL96" i="2"/>
  <c r="CL89" i="2"/>
  <c r="CL97" i="2"/>
  <c r="CL54" i="2"/>
  <c r="CL56" i="2"/>
  <c r="CL58" i="2"/>
  <c r="CL62" i="2"/>
  <c r="CL64" i="2"/>
  <c r="CL68" i="2"/>
  <c r="CL70" i="2"/>
  <c r="CL72" i="2"/>
  <c r="CL74" i="2"/>
  <c r="CL76" i="2"/>
  <c r="CL78" i="2"/>
  <c r="CL80" i="2"/>
  <c r="CL86" i="2"/>
  <c r="CL94" i="2"/>
  <c r="CL104" i="2"/>
  <c r="CL10" i="2"/>
  <c r="CL12" i="2"/>
  <c r="CL14" i="2"/>
  <c r="CL82" i="2"/>
  <c r="CL91" i="2"/>
  <c r="CL99" i="2"/>
  <c r="B24" i="3"/>
  <c r="B20" i="3"/>
  <c r="BC8" i="3"/>
  <c r="BC20" i="3" s="1"/>
  <c r="BJ4" i="3"/>
  <c r="BJ16" i="3" s="1"/>
  <c r="BR10" i="3"/>
  <c r="BR22" i="3" s="1"/>
  <c r="B21" i="3"/>
  <c r="B25" i="3"/>
  <c r="BN9" i="3"/>
  <c r="BN21" i="3" s="1"/>
  <c r="B17" i="3"/>
  <c r="BP19" i="3"/>
  <c r="D28" i="3"/>
  <c r="B18" i="3"/>
  <c r="AL8" i="3"/>
  <c r="AL20" i="3" s="1"/>
  <c r="AY24" i="3"/>
  <c r="H8" i="3"/>
  <c r="H20" i="3" s="1"/>
  <c r="BJ8" i="3"/>
  <c r="BJ20" i="3" s="1"/>
  <c r="AT20" i="3"/>
  <c r="O5" i="3"/>
  <c r="AF4" i="3"/>
  <c r="AR12" i="3"/>
  <c r="AR24" i="3" s="1"/>
  <c r="AT10" i="3"/>
  <c r="AT22" i="3" s="1"/>
  <c r="B22" i="3"/>
  <c r="U12" i="3"/>
  <c r="U24" i="3" s="1"/>
  <c r="AH5" i="3"/>
  <c r="BT5" i="3"/>
  <c r="AD20" i="3"/>
  <c r="AA6" i="3"/>
  <c r="AK12" i="3"/>
  <c r="AK24" i="3" s="1"/>
  <c r="BC12" i="3"/>
  <c r="BC24" i="3" s="1"/>
  <c r="BX8" i="3"/>
  <c r="BX20" i="3" s="1"/>
  <c r="CL11" i="3"/>
  <c r="CL23" i="3" s="1"/>
  <c r="CH11" i="3"/>
  <c r="CH23" i="3" s="1"/>
  <c r="CK11" i="3"/>
  <c r="CK23" i="3" s="1"/>
  <c r="CJ11" i="3"/>
  <c r="CJ23" i="3" s="1"/>
  <c r="CM11" i="3"/>
  <c r="CM23" i="3" s="1"/>
  <c r="CI11" i="3"/>
  <c r="CI23" i="3" s="1"/>
  <c r="B47" i="3"/>
  <c r="CK35" i="3"/>
  <c r="CK47" i="3" s="1"/>
  <c r="CI35" i="3"/>
  <c r="CI47" i="3" s="1"/>
  <c r="CL35" i="3"/>
  <c r="CL47" i="3" s="1"/>
  <c r="CJ35" i="3"/>
  <c r="CJ47" i="3" s="1"/>
  <c r="CM35" i="3"/>
  <c r="CM47" i="3" s="1"/>
  <c r="CK39" i="3"/>
  <c r="CL39" i="3"/>
  <c r="CJ39" i="3"/>
  <c r="CM39" i="3"/>
  <c r="CI39" i="3"/>
  <c r="AQ7" i="3"/>
  <c r="AQ19" i="3" s="1"/>
  <c r="CJ10" i="3"/>
  <c r="CJ22" i="3" s="1"/>
  <c r="CL10" i="3"/>
  <c r="CL22" i="3" s="1"/>
  <c r="CM10" i="3"/>
  <c r="CM22" i="3" s="1"/>
  <c r="CI10" i="3"/>
  <c r="CI22" i="3" s="1"/>
  <c r="CH10" i="3"/>
  <c r="CH22" i="3" s="1"/>
  <c r="CK10" i="3"/>
  <c r="CK22" i="3" s="1"/>
  <c r="CJ14" i="3"/>
  <c r="CJ26" i="3" s="1"/>
  <c r="CL14" i="3"/>
  <c r="CL26" i="3" s="1"/>
  <c r="CM14" i="3"/>
  <c r="CM26" i="3" s="1"/>
  <c r="CI14" i="3"/>
  <c r="CI26" i="3" s="1"/>
  <c r="CH14" i="3"/>
  <c r="CH26" i="3" s="1"/>
  <c r="CK14" i="3"/>
  <c r="CK26" i="3" s="1"/>
  <c r="AC21" i="3"/>
  <c r="AM10" i="3"/>
  <c r="AM22" i="3" s="1"/>
  <c r="BB11" i="3"/>
  <c r="BB23" i="3" s="1"/>
  <c r="B19" i="3"/>
  <c r="CL13" i="3"/>
  <c r="CL25" i="3" s="1"/>
  <c r="CH13" i="3"/>
  <c r="CH25" i="3" s="1"/>
  <c r="CJ13" i="3"/>
  <c r="CJ25" i="3" s="1"/>
  <c r="CK13" i="3"/>
  <c r="CK25" i="3" s="1"/>
  <c r="CM13" i="3"/>
  <c r="CM25" i="3" s="1"/>
  <c r="CI13" i="3"/>
  <c r="CI25" i="3" s="1"/>
  <c r="CL9" i="3"/>
  <c r="CL21" i="3" s="1"/>
  <c r="CH9" i="3"/>
  <c r="CH21" i="3" s="1"/>
  <c r="CJ9" i="3"/>
  <c r="CJ21" i="3" s="1"/>
  <c r="CK9" i="3"/>
  <c r="CK21" i="3" s="1"/>
  <c r="CM9" i="3"/>
  <c r="CM21" i="3" s="1"/>
  <c r="CI9" i="3"/>
  <c r="CI21" i="3" s="1"/>
  <c r="CL5" i="3"/>
  <c r="CH5" i="3"/>
  <c r="CJ5" i="3"/>
  <c r="CJ17" i="3" s="1"/>
  <c r="CK5" i="3"/>
  <c r="CM5" i="3"/>
  <c r="CI5" i="3"/>
  <c r="CM33" i="3"/>
  <c r="CM45" i="3" s="1"/>
  <c r="CI33" i="3"/>
  <c r="CI45" i="3" s="1"/>
  <c r="CK33" i="3"/>
  <c r="CK45" i="3" s="1"/>
  <c r="CL33" i="3"/>
  <c r="CL45" i="3" s="1"/>
  <c r="CJ33" i="3"/>
  <c r="CJ45" i="3" s="1"/>
  <c r="CM37" i="3"/>
  <c r="CM49" i="3" s="1"/>
  <c r="CI37" i="3"/>
  <c r="CI49" i="3" s="1"/>
  <c r="CJ37" i="3"/>
  <c r="CJ49" i="3" s="1"/>
  <c r="CL37" i="3"/>
  <c r="CL49" i="3" s="1"/>
  <c r="CK37" i="3"/>
  <c r="CK49" i="3" s="1"/>
  <c r="J12" i="3"/>
  <c r="J24" i="3" s="1"/>
  <c r="R7" i="3"/>
  <c r="R19" i="3" s="1"/>
  <c r="Y12" i="3"/>
  <c r="Y24" i="3" s="1"/>
  <c r="AI5" i="3"/>
  <c r="AM39" i="3"/>
  <c r="AT11" i="3"/>
  <c r="AT23" i="3" s="1"/>
  <c r="BF9" i="3"/>
  <c r="BF21" i="3" s="1"/>
  <c r="BZ9" i="3"/>
  <c r="BZ21" i="3" s="1"/>
  <c r="CF9" i="3"/>
  <c r="CF21" i="3" s="1"/>
  <c r="CL7" i="3"/>
  <c r="CL19" i="3" s="1"/>
  <c r="CH7" i="3"/>
  <c r="CH19" i="3" s="1"/>
  <c r="CK7" i="3"/>
  <c r="CK19" i="3" s="1"/>
  <c r="CJ7" i="3"/>
  <c r="CJ19" i="3" s="1"/>
  <c r="CI7" i="3"/>
  <c r="CI19" i="3" s="1"/>
  <c r="CM7" i="3"/>
  <c r="CM19" i="3" s="1"/>
  <c r="CK31" i="3"/>
  <c r="CM31" i="3"/>
  <c r="CJ31" i="3"/>
  <c r="CI31" i="3"/>
  <c r="CL31" i="3"/>
  <c r="F25" i="3"/>
  <c r="AO11" i="3"/>
  <c r="AO23" i="3" s="1"/>
  <c r="CJ4" i="3"/>
  <c r="CM4" i="3"/>
  <c r="CI4" i="3"/>
  <c r="CL4" i="3"/>
  <c r="CK4" i="3"/>
  <c r="CJ6" i="3"/>
  <c r="CL6" i="3"/>
  <c r="CM6" i="3"/>
  <c r="CI6" i="3"/>
  <c r="CH6" i="3"/>
  <c r="CK6" i="3"/>
  <c r="CJ32" i="3"/>
  <c r="CK32" i="3"/>
  <c r="CM32" i="3"/>
  <c r="CI32" i="3"/>
  <c r="CL32" i="3"/>
  <c r="B48" i="3"/>
  <c r="CJ36" i="3"/>
  <c r="CJ48" i="3" s="1"/>
  <c r="CL36" i="3"/>
  <c r="CL48" i="3" s="1"/>
  <c r="CK36" i="3"/>
  <c r="CK48" i="3" s="1"/>
  <c r="CM36" i="3"/>
  <c r="CM48" i="3" s="1"/>
  <c r="CI36" i="3"/>
  <c r="CI48" i="3" s="1"/>
  <c r="P14" i="3"/>
  <c r="P26" i="3" s="1"/>
  <c r="V4" i="3"/>
  <c r="AX10" i="3"/>
  <c r="AX22" i="3" s="1"/>
  <c r="BD6" i="3"/>
  <c r="BK17" i="3"/>
  <c r="CD10" i="3"/>
  <c r="CD22" i="3" s="1"/>
  <c r="BF10" i="3"/>
  <c r="BF22" i="3" s="1"/>
  <c r="AY21" i="3"/>
  <c r="BZ7" i="3"/>
  <c r="BZ19" i="3" s="1"/>
  <c r="BR11" i="3"/>
  <c r="BR23" i="3" s="1"/>
  <c r="AD4" i="3"/>
  <c r="B51" i="3"/>
  <c r="CJ12" i="3"/>
  <c r="CJ24" i="3" s="1"/>
  <c r="CH12" i="3"/>
  <c r="CH24" i="3" s="1"/>
  <c r="CM12" i="3"/>
  <c r="CM24" i="3" s="1"/>
  <c r="CI12" i="3"/>
  <c r="CI24" i="3" s="1"/>
  <c r="CL12" i="3"/>
  <c r="CL24" i="3" s="1"/>
  <c r="CK12" i="3"/>
  <c r="CK24" i="3" s="1"/>
  <c r="CJ8" i="3"/>
  <c r="CJ20" i="3" s="1"/>
  <c r="CH8" i="3"/>
  <c r="CH20" i="3" s="1"/>
  <c r="CM8" i="3"/>
  <c r="CM20" i="3" s="1"/>
  <c r="CI8" i="3"/>
  <c r="CI20" i="3" s="1"/>
  <c r="CL8" i="3"/>
  <c r="CL20" i="3" s="1"/>
  <c r="CK8" i="3"/>
  <c r="CK20" i="3" s="1"/>
  <c r="CL30" i="3"/>
  <c r="CJ30" i="3"/>
  <c r="CM30" i="3"/>
  <c r="CK30" i="3"/>
  <c r="CI30" i="3"/>
  <c r="B46" i="3"/>
  <c r="CL34" i="3"/>
  <c r="CL46" i="3" s="1"/>
  <c r="CI34" i="3"/>
  <c r="CI46" i="3" s="1"/>
  <c r="CK34" i="3"/>
  <c r="CK46" i="3" s="1"/>
  <c r="CJ34" i="3"/>
  <c r="CJ46" i="3" s="1"/>
  <c r="CM34" i="3"/>
  <c r="CM46" i="3" s="1"/>
  <c r="B50" i="3"/>
  <c r="CL38" i="3"/>
  <c r="CJ38" i="3"/>
  <c r="CM38" i="3"/>
  <c r="CI38" i="3"/>
  <c r="CK38" i="3"/>
  <c r="D13" i="3"/>
  <c r="N10" i="3"/>
  <c r="N22" i="3" s="1"/>
  <c r="T10" i="3"/>
  <c r="T22" i="3" s="1"/>
  <c r="Z10" i="3"/>
  <c r="Z22" i="3" s="1"/>
  <c r="AE13" i="3"/>
  <c r="AE25" i="3" s="1"/>
  <c r="AJ12" i="3"/>
  <c r="AJ24" i="3" s="1"/>
  <c r="AN12" i="3"/>
  <c r="AN24" i="3" s="1"/>
  <c r="AV11" i="3"/>
  <c r="AV23" i="3" s="1"/>
  <c r="BB5" i="3"/>
  <c r="BG6" i="3"/>
  <c r="BR12" i="3"/>
  <c r="BR24" i="3" s="1"/>
  <c r="CA7" i="3"/>
  <c r="CA19" i="3" s="1"/>
  <c r="N9" i="3"/>
  <c r="N21" i="3" s="1"/>
  <c r="AH9" i="3"/>
  <c r="AH21" i="3" s="1"/>
  <c r="AT9" i="3"/>
  <c r="AT21" i="3" s="1"/>
  <c r="N6" i="3"/>
  <c r="BF8" i="3"/>
  <c r="BF20" i="3" s="1"/>
  <c r="W36" i="3"/>
  <c r="W48" i="3" s="1"/>
  <c r="BB9" i="3"/>
  <c r="BB21" i="3" s="1"/>
  <c r="AT35" i="3"/>
  <c r="AT47" i="3" s="1"/>
  <c r="AL13" i="3"/>
  <c r="AL25" i="3" s="1"/>
  <c r="AT6" i="3"/>
  <c r="AM9" i="3"/>
  <c r="AM21" i="3" s="1"/>
  <c r="BZ6" i="3"/>
  <c r="BR13" i="3"/>
  <c r="BR25" i="3" s="1"/>
  <c r="V7" i="3"/>
  <c r="V19" i="3" s="1"/>
  <c r="BZ10" i="3"/>
  <c r="BZ22" i="3" s="1"/>
  <c r="V11" i="3"/>
  <c r="V23" i="3" s="1"/>
  <c r="O8" i="3"/>
  <c r="O20" i="3" s="1"/>
  <c r="AL12" i="3"/>
  <c r="AL24" i="3" s="1"/>
  <c r="N11" i="3"/>
  <c r="N23" i="3" s="1"/>
  <c r="N12" i="3"/>
  <c r="N24" i="3" s="1"/>
  <c r="AD7" i="3"/>
  <c r="AD19" i="3" s="1"/>
  <c r="BS30" i="3"/>
  <c r="V6" i="3"/>
  <c r="F9" i="3"/>
  <c r="F21" i="3" s="1"/>
  <c r="AD12" i="3"/>
  <c r="AD24" i="3" s="1"/>
  <c r="CB11" i="3"/>
  <c r="CB23" i="3" s="1"/>
  <c r="H10" i="3"/>
  <c r="H22" i="3" s="1"/>
  <c r="AJ25" i="2"/>
  <c r="AJ50" i="2"/>
  <c r="AQ30" i="3"/>
  <c r="K30" i="3"/>
  <c r="L36" i="3"/>
  <c r="L48" i="3" s="1"/>
  <c r="X37" i="3"/>
  <c r="X49" i="3" s="1"/>
  <c r="AB35" i="3"/>
  <c r="AB47" i="3" s="1"/>
  <c r="AZ38" i="3"/>
  <c r="BH30" i="3"/>
  <c r="BL38" i="3"/>
  <c r="E34" i="3"/>
  <c r="E46" i="3" s="1"/>
  <c r="I37" i="3"/>
  <c r="I49" i="3" s="1"/>
  <c r="M39" i="3"/>
  <c r="Q34" i="3"/>
  <c r="Q46" i="3" s="1"/>
  <c r="AG34" i="3"/>
  <c r="AG46" i="3" s="1"/>
  <c r="BA35" i="3"/>
  <c r="BA47" i="3" s="1"/>
  <c r="BI39" i="3"/>
  <c r="BQ39" i="3"/>
  <c r="BU39" i="3"/>
  <c r="BY38" i="3"/>
  <c r="BY50" i="3" s="1"/>
  <c r="CC38" i="3"/>
  <c r="BS34" i="3"/>
  <c r="BS46" i="3" s="1"/>
  <c r="N39" i="3"/>
  <c r="BB39" i="3"/>
  <c r="BR36" i="3"/>
  <c r="BR48" i="3" s="1"/>
  <c r="BZ35" i="3"/>
  <c r="BZ47" i="3" s="1"/>
  <c r="AS33" i="3"/>
  <c r="AS45" i="3" s="1"/>
  <c r="BM33" i="3"/>
  <c r="BM45" i="3" s="1"/>
  <c r="CG33" i="3"/>
  <c r="CG45" i="3" s="1"/>
  <c r="AL33" i="3"/>
  <c r="AL45" i="3" s="1"/>
  <c r="BJ33" i="3"/>
  <c r="BJ45" i="3" s="1"/>
  <c r="S9" i="3"/>
  <c r="S21" i="3" s="1"/>
  <c r="T52" i="1"/>
  <c r="T25" i="1" s="1"/>
  <c r="P13" i="3"/>
  <c r="P25" i="3" s="1"/>
  <c r="T33" i="3"/>
  <c r="T45" i="3" s="1"/>
  <c r="BX7" i="3"/>
  <c r="BX19" i="3" s="1"/>
  <c r="AJ15" i="2"/>
  <c r="AJ21" i="2"/>
  <c r="AJ33" i="2"/>
  <c r="AJ41" i="2"/>
  <c r="AI13" i="2"/>
  <c r="BH8" i="3"/>
  <c r="BH20" i="3" s="1"/>
  <c r="AJ6" i="3"/>
  <c r="AJ36" i="3"/>
  <c r="AJ48" i="3" s="1"/>
  <c r="AZ11" i="3"/>
  <c r="AZ23" i="3" s="1"/>
  <c r="AJ5" i="3"/>
  <c r="BH4" i="3"/>
  <c r="CB10" i="3"/>
  <c r="CB22" i="3" s="1"/>
  <c r="BD12" i="3"/>
  <c r="BD24" i="3" s="1"/>
  <c r="BX9" i="3"/>
  <c r="BX21" i="3" s="1"/>
  <c r="BX6" i="3"/>
  <c r="BT4" i="3"/>
  <c r="H35" i="3"/>
  <c r="H47" i="3" s="1"/>
  <c r="BX37" i="3"/>
  <c r="BX49" i="3" s="1"/>
  <c r="L8" i="3"/>
  <c r="L20" i="3" s="1"/>
  <c r="AZ9" i="3"/>
  <c r="AZ21" i="3" s="1"/>
  <c r="BL4" i="3"/>
  <c r="AR5" i="3"/>
  <c r="D8" i="3"/>
  <c r="AR10" i="3"/>
  <c r="AR22" i="3" s="1"/>
  <c r="BP8" i="3"/>
  <c r="BP20" i="3" s="1"/>
  <c r="BP9" i="3"/>
  <c r="BP21" i="3" s="1"/>
  <c r="X6" i="3"/>
  <c r="AR11" i="3"/>
  <c r="AR23" i="3" s="1"/>
  <c r="BH13" i="3"/>
  <c r="BH25" i="3" s="1"/>
  <c r="AJ4" i="3"/>
  <c r="AB36" i="3"/>
  <c r="AB48" i="3" s="1"/>
  <c r="AR38" i="3"/>
  <c r="L14" i="3"/>
  <c r="L26" i="3" s="1"/>
  <c r="T39" i="3"/>
  <c r="P10" i="3"/>
  <c r="P22" i="3" s="1"/>
  <c r="BT12" i="3"/>
  <c r="BT24" i="3" s="1"/>
  <c r="BL12" i="3"/>
  <c r="BL24" i="3" s="1"/>
  <c r="AN13" i="3"/>
  <c r="AN25" i="3" s="1"/>
  <c r="H38" i="3"/>
  <c r="AF34" i="3"/>
  <c r="AF46" i="3" s="1"/>
  <c r="BH37" i="3"/>
  <c r="BH49" i="3" s="1"/>
  <c r="BX33" i="3"/>
  <c r="BX45" i="3" s="1"/>
  <c r="H30" i="3"/>
  <c r="BL8" i="3"/>
  <c r="BL20" i="3" s="1"/>
  <c r="BL7" i="3"/>
  <c r="BL19" i="3" s="1"/>
  <c r="BT7" i="3"/>
  <c r="BT19" i="3" s="1"/>
  <c r="AZ8" i="3"/>
  <c r="AZ20" i="3" s="1"/>
  <c r="AF10" i="3"/>
  <c r="AF22" i="3" s="1"/>
  <c r="AL10" i="3"/>
  <c r="AL22" i="3" s="1"/>
  <c r="AJ9" i="3"/>
  <c r="AJ21" i="3" s="1"/>
  <c r="AN4" i="3"/>
  <c r="CB12" i="3"/>
  <c r="CB24" i="3" s="1"/>
  <c r="BB6" i="3"/>
  <c r="AF12" i="3"/>
  <c r="AF24" i="3" s="1"/>
  <c r="AF11" i="3"/>
  <c r="AF23" i="3" s="1"/>
  <c r="AZ5" i="3"/>
  <c r="AV13" i="3"/>
  <c r="AV25" i="3" s="1"/>
  <c r="AZ4" i="3"/>
  <c r="BB36" i="3"/>
  <c r="BB48" i="3" s="1"/>
  <c r="X38" i="3"/>
  <c r="AF37" i="3"/>
  <c r="AF49" i="3" s="1"/>
  <c r="BT33" i="3"/>
  <c r="BT45" i="3" s="1"/>
  <c r="BT14" i="3"/>
  <c r="BT26" i="3" s="1"/>
  <c r="AV14" i="3"/>
  <c r="AV26" i="3" s="1"/>
  <c r="BT8" i="3"/>
  <c r="BT20" i="3" s="1"/>
  <c r="X9" i="3"/>
  <c r="X21" i="3" s="1"/>
  <c r="AV7" i="3"/>
  <c r="AV19" i="3" s="1"/>
  <c r="CB4" i="3"/>
  <c r="CB16" i="3" s="1"/>
  <c r="BL13" i="3"/>
  <c r="BL25" i="3" s="1"/>
  <c r="AF38" i="3"/>
  <c r="CB31" i="3"/>
  <c r="AV30" i="3"/>
  <c r="AV10" i="3"/>
  <c r="AV22" i="3" s="1"/>
  <c r="AF9" i="3"/>
  <c r="AF21" i="3" s="1"/>
  <c r="BT13" i="3"/>
  <c r="BT25" i="3" s="1"/>
  <c r="AN38" i="3"/>
  <c r="P7" i="3"/>
  <c r="P19" i="3" s="1"/>
  <c r="H9" i="3"/>
  <c r="H21" i="3" s="1"/>
  <c r="AV12" i="3"/>
  <c r="AV24" i="3" s="1"/>
  <c r="AN6" i="3"/>
  <c r="AF6" i="3"/>
  <c r="AN11" i="3"/>
  <c r="AN23" i="3" s="1"/>
  <c r="P5" i="3"/>
  <c r="P17" i="3" s="1"/>
  <c r="BP13" i="3"/>
  <c r="BP25" i="3" s="1"/>
  <c r="CB13" i="3"/>
  <c r="CB25" i="3" s="1"/>
  <c r="BD36" i="3"/>
  <c r="BD48" i="3" s="1"/>
  <c r="BD38" i="3"/>
  <c r="BL9" i="3"/>
  <c r="BL21" i="3" s="1"/>
  <c r="AV31" i="3"/>
  <c r="AN5" i="3"/>
  <c r="AV5" i="3"/>
  <c r="AV17" i="3" s="1"/>
  <c r="L5" i="3"/>
  <c r="P12" i="3"/>
  <c r="P24" i="3" s="1"/>
  <c r="AV6" i="3"/>
  <c r="AF35" i="3"/>
  <c r="AF47" i="3" s="1"/>
  <c r="BD37" i="3"/>
  <c r="BD49" i="3" s="1"/>
  <c r="AV8" i="3"/>
  <c r="AV20" i="3" s="1"/>
  <c r="AN7" i="3"/>
  <c r="AN19" i="3" s="1"/>
  <c r="BD4" i="3"/>
  <c r="CB5" i="3"/>
  <c r="BL37" i="3"/>
  <c r="BL49" i="3" s="1"/>
  <c r="AV36" i="3"/>
  <c r="AV48" i="3" s="1"/>
  <c r="AN8" i="3"/>
  <c r="AN20" i="3" s="1"/>
  <c r="AF8" i="3"/>
  <c r="AF20" i="3" s="1"/>
  <c r="BL10" i="3"/>
  <c r="BL22" i="3" s="1"/>
  <c r="D10" i="3"/>
  <c r="AV9" i="3"/>
  <c r="AV21" i="3" s="1"/>
  <c r="X12" i="3"/>
  <c r="X24" i="3" s="1"/>
  <c r="P6" i="3"/>
  <c r="BT11" i="3"/>
  <c r="BT23" i="3" s="1"/>
  <c r="AF36" i="3"/>
  <c r="AF48" i="3" s="1"/>
  <c r="BT38" i="3"/>
  <c r="X34" i="3"/>
  <c r="X46" i="3" s="1"/>
  <c r="AN39" i="3"/>
  <c r="CB7" i="3"/>
  <c r="CB19" i="3" s="1"/>
  <c r="BD8" i="3"/>
  <c r="BD20" i="3" s="1"/>
  <c r="BD7" i="3"/>
  <c r="BD19" i="3" s="1"/>
  <c r="AN10" i="3"/>
  <c r="AN22" i="3" s="1"/>
  <c r="BD11" i="3"/>
  <c r="BD23" i="3" s="1"/>
  <c r="H33" i="3"/>
  <c r="H45" i="3" s="1"/>
  <c r="AF7" i="3"/>
  <c r="AF19" i="3" s="1"/>
  <c r="H11" i="3"/>
  <c r="H23" i="3" s="1"/>
  <c r="AA30" i="3"/>
  <c r="X7" i="3"/>
  <c r="X19" i="3" s="1"/>
  <c r="BG8" i="3"/>
  <c r="BG20" i="3" s="1"/>
  <c r="BD10" i="3"/>
  <c r="BD22" i="3" s="1"/>
  <c r="AQ10" i="3"/>
  <c r="AQ22" i="3" s="1"/>
  <c r="X5" i="3"/>
  <c r="H7" i="3"/>
  <c r="H19" i="3" s="1"/>
  <c r="AN30" i="3"/>
  <c r="P8" i="3"/>
  <c r="P20" i="3" s="1"/>
  <c r="BD9" i="3"/>
  <c r="BD21" i="3" s="1"/>
  <c r="BT10" i="3"/>
  <c r="BT22" i="3" s="1"/>
  <c r="P9" i="3"/>
  <c r="P21" i="3" s="1"/>
  <c r="AN9" i="3"/>
  <c r="AN21" i="3" s="1"/>
  <c r="AZ12" i="3"/>
  <c r="AZ24" i="3" s="1"/>
  <c r="H5" i="3"/>
  <c r="P11" i="3"/>
  <c r="P23" i="3" s="1"/>
  <c r="AB11" i="3"/>
  <c r="AB23" i="3" s="1"/>
  <c r="AF5" i="3"/>
  <c r="H13" i="3"/>
  <c r="H25" i="3" s="1"/>
  <c r="H4" i="3"/>
  <c r="BT9" i="3"/>
  <c r="BT21" i="3" s="1"/>
  <c r="AN34" i="3"/>
  <c r="AN46" i="3" s="1"/>
  <c r="BT39" i="3"/>
  <c r="H36" i="3"/>
  <c r="H48" i="3" s="1"/>
  <c r="Z38" i="3"/>
  <c r="Z5" i="3"/>
  <c r="Z9" i="3"/>
  <c r="Z21" i="3" s="1"/>
  <c r="Z13" i="3"/>
  <c r="Z25" i="3" s="1"/>
  <c r="Z11" i="3"/>
  <c r="Z23" i="3" s="1"/>
  <c r="AH36" i="3"/>
  <c r="AH48" i="3" s="1"/>
  <c r="AH37" i="3"/>
  <c r="AH49" i="3" s="1"/>
  <c r="AX33" i="3"/>
  <c r="AX45" i="3" s="1"/>
  <c r="AX4" i="3"/>
  <c r="AX6" i="3"/>
  <c r="BF39" i="3"/>
  <c r="BF13" i="3"/>
  <c r="BF25" i="3" s="1"/>
  <c r="BF6" i="3"/>
  <c r="BF18" i="3" s="1"/>
  <c r="BF11" i="3"/>
  <c r="BF23" i="3" s="1"/>
  <c r="BF7" i="3"/>
  <c r="BF19" i="3" s="1"/>
  <c r="BN5" i="3"/>
  <c r="BN6" i="3"/>
  <c r="BN18" i="3" s="1"/>
  <c r="BN7" i="3"/>
  <c r="BN19" i="3" s="1"/>
  <c r="BN8" i="3"/>
  <c r="BN20" i="3" s="1"/>
  <c r="CD36" i="3"/>
  <c r="CD48" i="3" s="1"/>
  <c r="CD5" i="3"/>
  <c r="CD17" i="3" s="1"/>
  <c r="CD6" i="3"/>
  <c r="J14" i="3"/>
  <c r="J26" i="3" s="1"/>
  <c r="J4" i="3"/>
  <c r="R12" i="3"/>
  <c r="R24" i="3" s="1"/>
  <c r="R10" i="3"/>
  <c r="R22" i="3" s="1"/>
  <c r="R4" i="3"/>
  <c r="BV4" i="3"/>
  <c r="BV37" i="3"/>
  <c r="BV49" i="3" s="1"/>
  <c r="Z6" i="3"/>
  <c r="BV5" i="3"/>
  <c r="D36" i="3"/>
  <c r="D6" i="3"/>
  <c r="CB18" i="3" s="1"/>
  <c r="D9" i="3"/>
  <c r="D39" i="3"/>
  <c r="D33" i="3"/>
  <c r="D4" i="3"/>
  <c r="D7" i="3"/>
  <c r="D5" i="3"/>
  <c r="D12" i="3"/>
  <c r="D35" i="3"/>
  <c r="L34" i="3"/>
  <c r="L46" i="3" s="1"/>
  <c r="L38" i="3"/>
  <c r="L13" i="3"/>
  <c r="L25" i="3" s="1"/>
  <c r="L11" i="3"/>
  <c r="L23" i="3" s="1"/>
  <c r="L37" i="3"/>
  <c r="L49" i="3" s="1"/>
  <c r="L6" i="3"/>
  <c r="L12" i="3"/>
  <c r="L24" i="3" s="1"/>
  <c r="L9" i="3"/>
  <c r="L21" i="3" s="1"/>
  <c r="L10" i="3"/>
  <c r="L22" i="3" s="1"/>
  <c r="L30" i="3"/>
  <c r="T11" i="3"/>
  <c r="T23" i="3" s="1"/>
  <c r="T6" i="3"/>
  <c r="T18" i="3" s="1"/>
  <c r="T9" i="3"/>
  <c r="T21" i="3" s="1"/>
  <c r="T8" i="3"/>
  <c r="T20" i="3" s="1"/>
  <c r="T4" i="3"/>
  <c r="T12" i="3"/>
  <c r="T24" i="3" s="1"/>
  <c r="T34" i="3"/>
  <c r="T46" i="3" s="1"/>
  <c r="T13" i="3"/>
  <c r="T25" i="3" s="1"/>
  <c r="T14" i="3"/>
  <c r="T26" i="3" s="1"/>
  <c r="T38" i="3"/>
  <c r="AB4" i="3"/>
  <c r="AB12" i="3"/>
  <c r="AB24" i="3" s="1"/>
  <c r="AB7" i="3"/>
  <c r="AB19" i="3" s="1"/>
  <c r="AB33" i="3"/>
  <c r="AB45" i="3" s="1"/>
  <c r="AB8" i="3"/>
  <c r="AB20" i="3" s="1"/>
  <c r="AB6" i="3"/>
  <c r="AB9" i="3"/>
  <c r="AB21" i="3" s="1"/>
  <c r="AB10" i="3"/>
  <c r="AB22" i="3" s="1"/>
  <c r="AB31" i="3"/>
  <c r="AJ33" i="3"/>
  <c r="AJ45" i="3" s="1"/>
  <c r="AJ38" i="3"/>
  <c r="AJ10" i="3"/>
  <c r="AJ22" i="3" s="1"/>
  <c r="AJ30" i="3"/>
  <c r="AJ8" i="3"/>
  <c r="AJ20" i="3" s="1"/>
  <c r="AJ39" i="3"/>
  <c r="AR35" i="3"/>
  <c r="AR47" i="3" s="1"/>
  <c r="AR13" i="3"/>
  <c r="AR25" i="3" s="1"/>
  <c r="AR7" i="3"/>
  <c r="AR19" i="3" s="1"/>
  <c r="AR9" i="3"/>
  <c r="AR21" i="3" s="1"/>
  <c r="AR8" i="3"/>
  <c r="AR20" i="3" s="1"/>
  <c r="AR37" i="3"/>
  <c r="AR49" i="3" s="1"/>
  <c r="AR36" i="3"/>
  <c r="AR48" i="3" s="1"/>
  <c r="AZ7" i="3"/>
  <c r="AZ19" i="3" s="1"/>
  <c r="AZ6" i="3"/>
  <c r="AZ18" i="3" s="1"/>
  <c r="AZ13" i="3"/>
  <c r="AZ25" i="3" s="1"/>
  <c r="AZ10" i="3"/>
  <c r="AZ22" i="3" s="1"/>
  <c r="BH9" i="3"/>
  <c r="BH21" i="3" s="1"/>
  <c r="BH10" i="3"/>
  <c r="BH22" i="3" s="1"/>
  <c r="BH11" i="3"/>
  <c r="BH23" i="3" s="1"/>
  <c r="BH14" i="3"/>
  <c r="BH26" i="3" s="1"/>
  <c r="BH38" i="3"/>
  <c r="BH36" i="3"/>
  <c r="BH48" i="3" s="1"/>
  <c r="BH6" i="3"/>
  <c r="BH12" i="3"/>
  <c r="BH24" i="3" s="1"/>
  <c r="BP38" i="3"/>
  <c r="BP10" i="3"/>
  <c r="BP22" i="3" s="1"/>
  <c r="BP36" i="3"/>
  <c r="BP48" i="3" s="1"/>
  <c r="BP5" i="3"/>
  <c r="BP17" i="3" s="1"/>
  <c r="BP12" i="3"/>
  <c r="BP24" i="3" s="1"/>
  <c r="BP4" i="3"/>
  <c r="BP16" i="3" s="1"/>
  <c r="BX10" i="3"/>
  <c r="BX22" i="3" s="1"/>
  <c r="BX12" i="3"/>
  <c r="BX24" i="3" s="1"/>
  <c r="BX5" i="3"/>
  <c r="BX11" i="3"/>
  <c r="BX23" i="3" s="1"/>
  <c r="CF34" i="3"/>
  <c r="CF46" i="3" s="1"/>
  <c r="CF39" i="3"/>
  <c r="CF36" i="3"/>
  <c r="CF48" i="3" s="1"/>
  <c r="BN12" i="3"/>
  <c r="BN24" i="3" s="1"/>
  <c r="BF4" i="3"/>
  <c r="BP32" i="3"/>
  <c r="BD30" i="3"/>
  <c r="X4" i="3"/>
  <c r="X8" i="3"/>
  <c r="X20" i="3" s="1"/>
  <c r="X10" i="3"/>
  <c r="X22" i="3" s="1"/>
  <c r="F10" i="3"/>
  <c r="F22" i="3" s="1"/>
  <c r="BL6" i="3"/>
  <c r="BL18" i="3" s="1"/>
  <c r="AF13" i="3"/>
  <c r="AF25" i="3" s="1"/>
  <c r="B44" i="3"/>
  <c r="CD32" i="3"/>
  <c r="X32" i="3"/>
  <c r="BD32" i="3"/>
  <c r="AF32" i="3"/>
  <c r="P32" i="3"/>
  <c r="BT32" i="3"/>
  <c r="AD32" i="3"/>
  <c r="AN32" i="3"/>
  <c r="BL32" i="3"/>
  <c r="B43" i="3"/>
  <c r="T31" i="3"/>
  <c r="AP31" i="3"/>
  <c r="AT31" i="3"/>
  <c r="L31" i="3"/>
  <c r="BR31" i="3"/>
  <c r="BE31" i="3"/>
  <c r="W9" i="3"/>
  <c r="W21" i="3" s="1"/>
  <c r="AA8" i="3"/>
  <c r="AA20" i="3" s="1"/>
  <c r="BS9" i="3"/>
  <c r="BS21" i="3" s="1"/>
  <c r="S7" i="3"/>
  <c r="S19" i="3" s="1"/>
  <c r="BS6" i="3"/>
  <c r="S11" i="3"/>
  <c r="S23" i="3" s="1"/>
  <c r="N35" i="3"/>
  <c r="N47" i="3" s="1"/>
  <c r="S12" i="3"/>
  <c r="S24" i="3" s="1"/>
  <c r="BK6" i="3"/>
  <c r="BK18" i="3" s="1"/>
  <c r="AJ10" i="2"/>
  <c r="AJ18" i="2"/>
  <c r="AJ26" i="2"/>
  <c r="AJ153" i="2"/>
  <c r="AY10" i="3"/>
  <c r="AY22" i="3" s="1"/>
  <c r="F11" i="3"/>
  <c r="F23" i="3" s="1"/>
  <c r="V12" i="3"/>
  <c r="V24" i="3" s="1"/>
  <c r="AT7" i="3"/>
  <c r="AT19" i="3" s="1"/>
  <c r="BN34" i="3"/>
  <c r="BN46" i="3" s="1"/>
  <c r="CD39" i="3"/>
  <c r="CD31" i="3"/>
  <c r="AI19" i="2"/>
  <c r="AJ34" i="2"/>
  <c r="F5" i="3"/>
  <c r="F17" i="3" s="1"/>
  <c r="J35" i="3"/>
  <c r="J47" i="3" s="1"/>
  <c r="V36" i="3"/>
  <c r="V48" i="3" s="1"/>
  <c r="AT38" i="3"/>
  <c r="BN37" i="3"/>
  <c r="BN49" i="3" s="1"/>
  <c r="BR34" i="3"/>
  <c r="BR46" i="3" s="1"/>
  <c r="AW34" i="3"/>
  <c r="AW46" i="3" s="1"/>
  <c r="AS10" i="3"/>
  <c r="AS22" i="3" s="1"/>
  <c r="AH32" i="3"/>
  <c r="AJ31" i="2"/>
  <c r="AJ35" i="2"/>
  <c r="AT33" i="3"/>
  <c r="AT45" i="3" s="1"/>
  <c r="BE10" i="3"/>
  <c r="BE22" i="3" s="1"/>
  <c r="BQ6" i="3"/>
  <c r="BI11" i="3"/>
  <c r="BI23" i="3" s="1"/>
  <c r="AJ11" i="2"/>
  <c r="BU12" i="3"/>
  <c r="BU24" i="3" s="1"/>
  <c r="BI4" i="3"/>
  <c r="BY35" i="3"/>
  <c r="BY47" i="3" s="1"/>
  <c r="BJ39" i="3"/>
  <c r="U8" i="3"/>
  <c r="U20" i="3" s="1"/>
  <c r="BY8" i="3"/>
  <c r="BY20" i="3" s="1"/>
  <c r="BQ7" i="3"/>
  <c r="BQ19" i="3" s="1"/>
  <c r="AO9" i="3"/>
  <c r="AO21" i="3" s="1"/>
  <c r="AS9" i="3"/>
  <c r="AS21" i="3" s="1"/>
  <c r="BM8" i="3"/>
  <c r="BM20" i="3" s="1"/>
  <c r="BI5" i="3"/>
  <c r="BI17" i="3" s="1"/>
  <c r="BE5" i="3"/>
  <c r="BE17" i="3" s="1"/>
  <c r="M13" i="3"/>
  <c r="M25" i="3" s="1"/>
  <c r="AO38" i="3"/>
  <c r="I11" i="3"/>
  <c r="I23" i="3" s="1"/>
  <c r="AS34" i="3"/>
  <c r="AS46" i="3" s="1"/>
  <c r="M32" i="3"/>
  <c r="I39" i="3"/>
  <c r="BI33" i="3"/>
  <c r="BI45" i="3" s="1"/>
  <c r="Q36" i="3"/>
  <c r="Q48" i="3" s="1"/>
  <c r="BU35" i="3"/>
  <c r="BU47" i="3" s="1"/>
  <c r="Y37" i="3"/>
  <c r="Y49" i="3" s="1"/>
  <c r="BY10" i="3"/>
  <c r="BY22" i="3" s="1"/>
  <c r="AO7" i="3"/>
  <c r="AO19" i="3" s="1"/>
  <c r="M8" i="3"/>
  <c r="M20" i="3" s="1"/>
  <c r="AK7" i="3"/>
  <c r="AK19" i="3" s="1"/>
  <c r="CC9" i="3"/>
  <c r="CC21" i="3" s="1"/>
  <c r="AK9" i="3"/>
  <c r="AK21" i="3" s="1"/>
  <c r="Y6" i="3"/>
  <c r="BY13" i="3"/>
  <c r="BY25" i="3" s="1"/>
  <c r="BM11" i="3"/>
  <c r="BM23" i="3" s="1"/>
  <c r="U5" i="3"/>
  <c r="U17" i="3" s="1"/>
  <c r="AO37" i="3"/>
  <c r="AO49" i="3" s="1"/>
  <c r="AC37" i="3"/>
  <c r="AC49" i="3" s="1"/>
  <c r="BU34" i="3"/>
  <c r="BU46" i="3" s="1"/>
  <c r="I33" i="3"/>
  <c r="I45" i="3" s="1"/>
  <c r="AD39" i="3"/>
  <c r="R39" i="3"/>
  <c r="BI31" i="3"/>
  <c r="AL34" i="3"/>
  <c r="AL46" i="3" s="1"/>
  <c r="V14" i="3"/>
  <c r="V26" i="3" s="1"/>
  <c r="Z14" i="3"/>
  <c r="Z26" i="3" s="1"/>
  <c r="BU7" i="3"/>
  <c r="BU19" i="3" s="1"/>
  <c r="I7" i="3"/>
  <c r="I19" i="3" s="1"/>
  <c r="E7" i="3"/>
  <c r="E19" i="3" s="1"/>
  <c r="BE9" i="3"/>
  <c r="BE21" i="3" s="1"/>
  <c r="Y10" i="3"/>
  <c r="Y22" i="3" s="1"/>
  <c r="M10" i="3"/>
  <c r="M22" i="3" s="1"/>
  <c r="E12" i="3"/>
  <c r="E24" i="3" s="1"/>
  <c r="AG12" i="3"/>
  <c r="AG24" i="3" s="1"/>
  <c r="U6" i="3"/>
  <c r="U18" i="3" s="1"/>
  <c r="AW11" i="3"/>
  <c r="AW23" i="3" s="1"/>
  <c r="CC11" i="3"/>
  <c r="CC23" i="3" s="1"/>
  <c r="U13" i="3"/>
  <c r="U25" i="3" s="1"/>
  <c r="AG5" i="3"/>
  <c r="AG17" i="3" s="1"/>
  <c r="BE13" i="3"/>
  <c r="BE25" i="3" s="1"/>
  <c r="E38" i="3"/>
  <c r="J31" i="3"/>
  <c r="BU33" i="3"/>
  <c r="BU45" i="3" s="1"/>
  <c r="Z32" i="3"/>
  <c r="AK32" i="3"/>
  <c r="F31" i="3"/>
  <c r="CC31" i="3"/>
  <c r="AO4" i="3"/>
  <c r="AO16" i="3" s="1"/>
  <c r="D14" i="3"/>
  <c r="D32" i="3"/>
  <c r="D34" i="3"/>
  <c r="D11" i="3"/>
  <c r="D37" i="3"/>
  <c r="D38" i="3"/>
  <c r="D31" i="3"/>
  <c r="H6" i="3"/>
  <c r="H18" i="3" s="1"/>
  <c r="H34" i="3"/>
  <c r="H46" i="3" s="1"/>
  <c r="H31" i="3"/>
  <c r="H39" i="3"/>
  <c r="H32" i="3"/>
  <c r="H37" i="3"/>
  <c r="H49" i="3" s="1"/>
  <c r="H14" i="3"/>
  <c r="H26" i="3" s="1"/>
  <c r="H12" i="3"/>
  <c r="H24" i="3" s="1"/>
  <c r="L4" i="3"/>
  <c r="L16" i="3" s="1"/>
  <c r="L35" i="3"/>
  <c r="L47" i="3" s="1"/>
  <c r="L32" i="3"/>
  <c r="L44" i="3" s="1"/>
  <c r="L7" i="3"/>
  <c r="L19" i="3" s="1"/>
  <c r="L33" i="3"/>
  <c r="L45" i="3" s="1"/>
  <c r="L39" i="3"/>
  <c r="P31" i="3"/>
  <c r="P36" i="3"/>
  <c r="P48" i="3" s="1"/>
  <c r="P34" i="3"/>
  <c r="P46" i="3" s="1"/>
  <c r="P33" i="3"/>
  <c r="P45" i="3" s="1"/>
  <c r="P37" i="3"/>
  <c r="P49" i="3" s="1"/>
  <c r="P38" i="3"/>
  <c r="P4" i="3"/>
  <c r="P35" i="3"/>
  <c r="P47" i="3" s="1"/>
  <c r="P39" i="3"/>
  <c r="T5" i="3"/>
  <c r="T17" i="3" s="1"/>
  <c r="T37" i="3"/>
  <c r="T49" i="3" s="1"/>
  <c r="T35" i="3"/>
  <c r="T47" i="3" s="1"/>
  <c r="T36" i="3"/>
  <c r="T48" i="3" s="1"/>
  <c r="T7" i="3"/>
  <c r="T19" i="3" s="1"/>
  <c r="T32" i="3"/>
  <c r="X35" i="3"/>
  <c r="X47" i="3" s="1"/>
  <c r="X13" i="3"/>
  <c r="X25" i="3" s="1"/>
  <c r="X14" i="3"/>
  <c r="X26" i="3" s="1"/>
  <c r="X39" i="3"/>
  <c r="X36" i="3"/>
  <c r="X48" i="3" s="1"/>
  <c r="X11" i="3"/>
  <c r="X23" i="3" s="1"/>
  <c r="X31" i="3"/>
  <c r="X33" i="3"/>
  <c r="X45" i="3" s="1"/>
  <c r="AB32" i="3"/>
  <c r="AB13" i="3"/>
  <c r="AB25" i="3" s="1"/>
  <c r="AB5" i="3"/>
  <c r="AB17" i="3" s="1"/>
  <c r="AB34" i="3"/>
  <c r="AB46" i="3" s="1"/>
  <c r="AB39" i="3"/>
  <c r="AB37" i="3"/>
  <c r="AB49" i="3" s="1"/>
  <c r="AB38" i="3"/>
  <c r="AB14" i="3"/>
  <c r="AB26" i="3" s="1"/>
  <c r="AF39" i="3"/>
  <c r="AF33" i="3"/>
  <c r="AF45" i="3" s="1"/>
  <c r="AF14" i="3"/>
  <c r="AF26" i="3" s="1"/>
  <c r="AF31" i="3"/>
  <c r="AJ7" i="3"/>
  <c r="AJ19" i="3" s="1"/>
  <c r="AJ35" i="3"/>
  <c r="AJ47" i="3" s="1"/>
  <c r="AJ13" i="3"/>
  <c r="AJ25" i="3" s="1"/>
  <c r="AJ11" i="3"/>
  <c r="AJ23" i="3" s="1"/>
  <c r="AJ14" i="3"/>
  <c r="AJ26" i="3" s="1"/>
  <c r="AJ32" i="3"/>
  <c r="AJ37" i="3"/>
  <c r="AJ49" i="3" s="1"/>
  <c r="AJ31" i="3"/>
  <c r="AJ34" i="3"/>
  <c r="AJ46" i="3" s="1"/>
  <c r="AN36" i="3"/>
  <c r="AN48" i="3" s="1"/>
  <c r="AN31" i="3"/>
  <c r="AN35" i="3"/>
  <c r="AN47" i="3" s="1"/>
  <c r="AN14" i="3"/>
  <c r="AN26" i="3" s="1"/>
  <c r="AN37" i="3"/>
  <c r="AN49" i="3" s="1"/>
  <c r="AN33" i="3"/>
  <c r="AN45" i="3" s="1"/>
  <c r="AR32" i="3"/>
  <c r="AR4" i="3"/>
  <c r="AR34" i="3"/>
  <c r="AR46" i="3" s="1"/>
  <c r="AR33" i="3"/>
  <c r="AR45" i="3" s="1"/>
  <c r="AR31" i="3"/>
  <c r="AR39" i="3"/>
  <c r="AR6" i="3"/>
  <c r="AR14" i="3"/>
  <c r="AR26" i="3" s="1"/>
  <c r="AV35" i="3"/>
  <c r="AV47" i="3" s="1"/>
  <c r="AV32" i="3"/>
  <c r="AV37" i="3"/>
  <c r="AV49" i="3" s="1"/>
  <c r="AV38" i="3"/>
  <c r="AV4" i="3"/>
  <c r="AV33" i="3"/>
  <c r="AV45" i="3" s="1"/>
  <c r="AV39" i="3"/>
  <c r="AV34" i="3"/>
  <c r="AV46" i="3" s="1"/>
  <c r="AZ14" i="3"/>
  <c r="AZ26" i="3" s="1"/>
  <c r="AZ32" i="3"/>
  <c r="AZ37" i="3"/>
  <c r="AZ49" i="3" s="1"/>
  <c r="AZ36" i="3"/>
  <c r="AZ48" i="3" s="1"/>
  <c r="AZ31" i="3"/>
  <c r="AZ39" i="3"/>
  <c r="AZ33" i="3"/>
  <c r="AZ45" i="3" s="1"/>
  <c r="AZ35" i="3"/>
  <c r="AZ47" i="3" s="1"/>
  <c r="AZ34" i="3"/>
  <c r="AZ46" i="3" s="1"/>
  <c r="BD31" i="3"/>
  <c r="BD13" i="3"/>
  <c r="BD25" i="3" s="1"/>
  <c r="BD5" i="3"/>
  <c r="BD17" i="3" s="1"/>
  <c r="BD14" i="3"/>
  <c r="BD26" i="3" s="1"/>
  <c r="BD39" i="3"/>
  <c r="BD34" i="3"/>
  <c r="BD46" i="3" s="1"/>
  <c r="BD35" i="3"/>
  <c r="BD47" i="3" s="1"/>
  <c r="BD33" i="3"/>
  <c r="BD45" i="3" s="1"/>
  <c r="BH7" i="3"/>
  <c r="BH19" i="3" s="1"/>
  <c r="BH33" i="3"/>
  <c r="BH45" i="3" s="1"/>
  <c r="BH39" i="3"/>
  <c r="BH5" i="3"/>
  <c r="BH17" i="3" s="1"/>
  <c r="BH31" i="3"/>
  <c r="BH35" i="3"/>
  <c r="BH47" i="3" s="1"/>
  <c r="BH32" i="3"/>
  <c r="BH34" i="3"/>
  <c r="BH46" i="3" s="1"/>
  <c r="BL36" i="3"/>
  <c r="BL48" i="3" s="1"/>
  <c r="BL34" i="3"/>
  <c r="BL46" i="3" s="1"/>
  <c r="BL14" i="3"/>
  <c r="BL26" i="3" s="1"/>
  <c r="BL31" i="3"/>
  <c r="BL33" i="3"/>
  <c r="BL45" i="3" s="1"/>
  <c r="BL11" i="3"/>
  <c r="BL23" i="3" s="1"/>
  <c r="BL35" i="3"/>
  <c r="BL47" i="3" s="1"/>
  <c r="BL5" i="3"/>
  <c r="BL17" i="3" s="1"/>
  <c r="BL39" i="3"/>
  <c r="BP35" i="3"/>
  <c r="BP47" i="3" s="1"/>
  <c r="BP37" i="3"/>
  <c r="BP49" i="3" s="1"/>
  <c r="BP31" i="3"/>
  <c r="BP33" i="3"/>
  <c r="BP45" i="3" s="1"/>
  <c r="BP11" i="3"/>
  <c r="BP23" i="3" s="1"/>
  <c r="BP6" i="3"/>
  <c r="BP39" i="3"/>
  <c r="BP34" i="3"/>
  <c r="BP46" i="3" s="1"/>
  <c r="BP14" i="3"/>
  <c r="BP26" i="3" s="1"/>
  <c r="BT31" i="3"/>
  <c r="BT35" i="3"/>
  <c r="BT47" i="3" s="1"/>
  <c r="BT36" i="3"/>
  <c r="BT48" i="3" s="1"/>
  <c r="BT6" i="3"/>
  <c r="BT34" i="3"/>
  <c r="BT46" i="3" s="1"/>
  <c r="BT37" i="3"/>
  <c r="BT49" i="3" s="1"/>
  <c r="BX34" i="3"/>
  <c r="BX46" i="3" s="1"/>
  <c r="BX38" i="3"/>
  <c r="BX50" i="3" s="1"/>
  <c r="BX4" i="3"/>
  <c r="BX13" i="3"/>
  <c r="BX25" i="3" s="1"/>
  <c r="BX31" i="3"/>
  <c r="BX35" i="3"/>
  <c r="BX47" i="3" s="1"/>
  <c r="BX39" i="3"/>
  <c r="BX14" i="3"/>
  <c r="BX26" i="3" s="1"/>
  <c r="BX32" i="3"/>
  <c r="BX36" i="3"/>
  <c r="BX48" i="3" s="1"/>
  <c r="CB39" i="3"/>
  <c r="CB14" i="3"/>
  <c r="CB26" i="3" s="1"/>
  <c r="CB37" i="3"/>
  <c r="CB49" i="3" s="1"/>
  <c r="CB8" i="3"/>
  <c r="CB20" i="3" s="1"/>
  <c r="CB38" i="3"/>
  <c r="CB36" i="3"/>
  <c r="CB48" i="3" s="1"/>
  <c r="CB9" i="3"/>
  <c r="CB21" i="3" s="1"/>
  <c r="CB33" i="3"/>
  <c r="CB45" i="3" s="1"/>
  <c r="CB34" i="3"/>
  <c r="CB46" i="3" s="1"/>
  <c r="CB35" i="3"/>
  <c r="CB47" i="3" s="1"/>
  <c r="CB32" i="3"/>
  <c r="CF38" i="3"/>
  <c r="CF50" i="3" s="1"/>
  <c r="CF35" i="3"/>
  <c r="CF47" i="3" s="1"/>
  <c r="CF33" i="3"/>
  <c r="CF45" i="3" s="1"/>
  <c r="CF8" i="3"/>
  <c r="CF20" i="3" s="1"/>
  <c r="CF5" i="3"/>
  <c r="CF17" i="3" s="1"/>
  <c r="CF32" i="3"/>
  <c r="CF13" i="3"/>
  <c r="CF25" i="3" s="1"/>
  <c r="CF10" i="3"/>
  <c r="CF22" i="3" s="1"/>
  <c r="CF12" i="3"/>
  <c r="CF24" i="3" s="1"/>
  <c r="CF7" i="3"/>
  <c r="CF19" i="3" s="1"/>
  <c r="CF11" i="3"/>
  <c r="CF23" i="3" s="1"/>
  <c r="CF31" i="3"/>
  <c r="CF14" i="3"/>
  <c r="CF26" i="3" s="1"/>
  <c r="CF37" i="3"/>
  <c r="CF49" i="3" s="1"/>
  <c r="CF4" i="3"/>
  <c r="CF6" i="3"/>
  <c r="AI11" i="2"/>
  <c r="AI12" i="2"/>
  <c r="AJ156" i="2"/>
  <c r="AJ160" i="2"/>
  <c r="V32" i="3"/>
  <c r="V44" i="3" s="1"/>
  <c r="V39" i="3"/>
  <c r="AK5" i="3"/>
  <c r="AK17" i="3" s="1"/>
  <c r="AX14" i="3"/>
  <c r="AX26" i="3" s="1"/>
  <c r="BA38" i="3"/>
  <c r="BA50" i="3" s="1"/>
  <c r="AT12" i="3"/>
  <c r="AT24" i="3" s="1"/>
  <c r="J36" i="3"/>
  <c r="J48" i="3" s="1"/>
  <c r="BT30" i="3"/>
  <c r="BZ30" i="3"/>
  <c r="V9" i="3"/>
  <c r="V21" i="3" s="1"/>
  <c r="V8" i="3"/>
  <c r="V20" i="3" s="1"/>
  <c r="BR8" i="3"/>
  <c r="BR20" i="3" s="1"/>
  <c r="N8" i="3"/>
  <c r="N20" i="3" s="1"/>
  <c r="AH10" i="3"/>
  <c r="AH22" i="3" s="1"/>
  <c r="BN10" i="3"/>
  <c r="BN22" i="3" s="1"/>
  <c r="V10" i="3"/>
  <c r="V22" i="3" s="1"/>
  <c r="BB10" i="3"/>
  <c r="BB22" i="3" s="1"/>
  <c r="J9" i="3"/>
  <c r="J21" i="3" s="1"/>
  <c r="AP9" i="3"/>
  <c r="AP21" i="3" s="1"/>
  <c r="BV9" i="3"/>
  <c r="BV21" i="3" s="1"/>
  <c r="AD9" i="3"/>
  <c r="AD21" i="3" s="1"/>
  <c r="BJ9" i="3"/>
  <c r="BJ21" i="3" s="1"/>
  <c r="AH8" i="3"/>
  <c r="AH20" i="3" s="1"/>
  <c r="CD7" i="3"/>
  <c r="CD19" i="3" s="1"/>
  <c r="AX12" i="3"/>
  <c r="AX24" i="3" s="1"/>
  <c r="Z12" i="3"/>
  <c r="Z24" i="3" s="1"/>
  <c r="AP12" i="3"/>
  <c r="AP24" i="3" s="1"/>
  <c r="BV12" i="3"/>
  <c r="BV24" i="3" s="1"/>
  <c r="AH6" i="3"/>
  <c r="AD6" i="3"/>
  <c r="BJ6" i="3"/>
  <c r="BJ18" i="3" s="1"/>
  <c r="AH12" i="3"/>
  <c r="AH24" i="3" s="1"/>
  <c r="BZ11" i="3"/>
  <c r="BZ23" i="3" s="1"/>
  <c r="AH11" i="3"/>
  <c r="AH23" i="3" s="1"/>
  <c r="BN11" i="3"/>
  <c r="BN23" i="3" s="1"/>
  <c r="V13" i="3"/>
  <c r="V25" i="3" s="1"/>
  <c r="AL11" i="3"/>
  <c r="AL23" i="3" s="1"/>
  <c r="Z4" i="3"/>
  <c r="R5" i="3"/>
  <c r="R17" i="3" s="1"/>
  <c r="AD5" i="3"/>
  <c r="AD17" i="3" s="1"/>
  <c r="BJ5" i="3"/>
  <c r="BJ17" i="3" s="1"/>
  <c r="N5" i="3"/>
  <c r="N17" i="3" s="1"/>
  <c r="N13" i="3"/>
  <c r="N25" i="3" s="1"/>
  <c r="AD13" i="3"/>
  <c r="AD25" i="3" s="1"/>
  <c r="AH13" i="3"/>
  <c r="AH25" i="3" s="1"/>
  <c r="BN13" i="3"/>
  <c r="BN25" i="3" s="1"/>
  <c r="CD4" i="3"/>
  <c r="CD16" i="3" s="1"/>
  <c r="F4" i="3"/>
  <c r="AL4" i="3"/>
  <c r="AL16" i="3" s="1"/>
  <c r="BR4" i="3"/>
  <c r="R36" i="3"/>
  <c r="R48" i="3" s="1"/>
  <c r="AD36" i="3"/>
  <c r="AD48" i="3" s="1"/>
  <c r="BJ36" i="3"/>
  <c r="BJ48" i="3" s="1"/>
  <c r="Z7" i="3"/>
  <c r="Z19" i="3" s="1"/>
  <c r="V35" i="3"/>
  <c r="V47" i="3" s="1"/>
  <c r="BB35" i="3"/>
  <c r="BB47" i="3" s="1"/>
  <c r="AX38" i="3"/>
  <c r="AX50" i="3" s="1"/>
  <c r="F38" i="3"/>
  <c r="BR38" i="3"/>
  <c r="N37" i="3"/>
  <c r="N49" i="3" s="1"/>
  <c r="BZ37" i="3"/>
  <c r="BZ49" i="3" s="1"/>
  <c r="AP37" i="3"/>
  <c r="AP49" i="3" s="1"/>
  <c r="V34" i="3"/>
  <c r="V46" i="3" s="1"/>
  <c r="Z34" i="3"/>
  <c r="Z46" i="3" s="1"/>
  <c r="AD33" i="3"/>
  <c r="AD45" i="3" s="1"/>
  <c r="J33" i="3"/>
  <c r="J45" i="3" s="1"/>
  <c r="AL32" i="3"/>
  <c r="BR33" i="3"/>
  <c r="BR45" i="3" s="1"/>
  <c r="AL39" i="3"/>
  <c r="Z39" i="3"/>
  <c r="N31" i="3"/>
  <c r="BZ31" i="3"/>
  <c r="BJ14" i="3"/>
  <c r="BJ26" i="3" s="1"/>
  <c r="AX37" i="3"/>
  <c r="AX49" i="3" s="1"/>
  <c r="AD34" i="3"/>
  <c r="AD46" i="3" s="1"/>
  <c r="AH33" i="3"/>
  <c r="AH45" i="3" s="1"/>
  <c r="CD37" i="3"/>
  <c r="CD49" i="3" s="1"/>
  <c r="BV38" i="3"/>
  <c r="AI41" i="2"/>
  <c r="AJ54" i="2"/>
  <c r="AX30" i="3"/>
  <c r="V5" i="3"/>
  <c r="V17" i="3" s="1"/>
  <c r="BZ8" i="3"/>
  <c r="BZ20" i="3" s="1"/>
  <c r="F8" i="3"/>
  <c r="F20" i="3" s="1"/>
  <c r="BB8" i="3"/>
  <c r="BB20" i="3" s="1"/>
  <c r="J10" i="3"/>
  <c r="J22" i="3" s="1"/>
  <c r="AP10" i="3"/>
  <c r="AP22" i="3" s="1"/>
  <c r="BV10" i="3"/>
  <c r="BV22" i="3" s="1"/>
  <c r="AD10" i="3"/>
  <c r="AD22" i="3" s="1"/>
  <c r="BJ10" i="3"/>
  <c r="BJ22" i="3" s="1"/>
  <c r="R9" i="3"/>
  <c r="R21" i="3" s="1"/>
  <c r="AX9" i="3"/>
  <c r="AX21" i="3" s="1"/>
  <c r="CD9" i="3"/>
  <c r="CD21" i="3" s="1"/>
  <c r="AL9" i="3"/>
  <c r="AL21" i="3" s="1"/>
  <c r="BR9" i="3"/>
  <c r="BR21" i="3" s="1"/>
  <c r="BR7" i="3"/>
  <c r="BR19" i="3" s="1"/>
  <c r="F7" i="3"/>
  <c r="F19" i="3" s="1"/>
  <c r="N7" i="3"/>
  <c r="N19" i="3" s="1"/>
  <c r="AX5" i="3"/>
  <c r="AX17" i="3" s="1"/>
  <c r="BJ12" i="3"/>
  <c r="BJ24" i="3" s="1"/>
  <c r="BZ12" i="3"/>
  <c r="BZ24" i="3" s="1"/>
  <c r="BB12" i="3"/>
  <c r="BB24" i="3" s="1"/>
  <c r="CD12" i="3"/>
  <c r="CD24" i="3" s="1"/>
  <c r="J6" i="3"/>
  <c r="BV6" i="3"/>
  <c r="F6" i="3"/>
  <c r="AL6" i="3"/>
  <c r="AL18" i="3" s="1"/>
  <c r="BR6" i="3"/>
  <c r="F12" i="3"/>
  <c r="F24" i="3" s="1"/>
  <c r="AD11" i="3"/>
  <c r="AD23" i="3" s="1"/>
  <c r="J11" i="3"/>
  <c r="J23" i="3" s="1"/>
  <c r="AP11" i="3"/>
  <c r="AP23" i="3" s="1"/>
  <c r="BV11" i="3"/>
  <c r="BV23" i="3" s="1"/>
  <c r="AP5" i="3"/>
  <c r="AP17" i="3" s="1"/>
  <c r="AL5" i="3"/>
  <c r="AL17" i="3" s="1"/>
  <c r="BR5" i="3"/>
  <c r="BR17" i="3" s="1"/>
  <c r="AT13" i="3"/>
  <c r="AT25" i="3" s="1"/>
  <c r="BJ13" i="3"/>
  <c r="BJ25" i="3" s="1"/>
  <c r="J13" i="3"/>
  <c r="J25" i="3" s="1"/>
  <c r="AP13" i="3"/>
  <c r="AP25" i="3" s="1"/>
  <c r="BV13" i="3"/>
  <c r="BV25" i="3" s="1"/>
  <c r="AH4" i="3"/>
  <c r="N4" i="3"/>
  <c r="AT4" i="3"/>
  <c r="AT16" i="3" s="1"/>
  <c r="BZ4" i="3"/>
  <c r="F36" i="3"/>
  <c r="F48" i="3" s="1"/>
  <c r="AL36" i="3"/>
  <c r="AL48" i="3" s="1"/>
  <c r="CD35" i="3"/>
  <c r="CD47" i="3" s="1"/>
  <c r="AD35" i="3"/>
  <c r="AD47" i="3" s="1"/>
  <c r="BJ35" i="3"/>
  <c r="BJ47" i="3" s="1"/>
  <c r="AP36" i="3"/>
  <c r="AP48" i="3" s="1"/>
  <c r="N38" i="3"/>
  <c r="N50" i="3" s="1"/>
  <c r="BZ38" i="3"/>
  <c r="BZ50" i="3" s="1"/>
  <c r="R38" i="3"/>
  <c r="R50" i="3" s="1"/>
  <c r="BB37" i="3"/>
  <c r="BB49" i="3" s="1"/>
  <c r="J38" i="3"/>
  <c r="J50" i="3" s="1"/>
  <c r="N34" i="3"/>
  <c r="N46" i="3" s="1"/>
  <c r="Z33" i="3"/>
  <c r="Z45" i="3" s="1"/>
  <c r="AP33" i="3"/>
  <c r="AP45" i="3" s="1"/>
  <c r="F33" i="3"/>
  <c r="F45" i="3" s="1"/>
  <c r="AX39" i="3"/>
  <c r="BN31" i="3"/>
  <c r="AL31" i="3"/>
  <c r="R14" i="3"/>
  <c r="R26" i="3" s="1"/>
  <c r="BB14" i="3"/>
  <c r="BB26" i="3" s="1"/>
  <c r="F37" i="3"/>
  <c r="F49" i="3" s="1"/>
  <c r="AI20" i="2"/>
  <c r="AI40" i="2"/>
  <c r="AI42" i="2"/>
  <c r="R11" i="3"/>
  <c r="R23" i="3" s="1"/>
  <c r="AX11" i="3"/>
  <c r="AX23" i="3" s="1"/>
  <c r="CD11" i="3"/>
  <c r="CD23" i="3" s="1"/>
  <c r="BF12" i="3"/>
  <c r="BF24" i="3" s="1"/>
  <c r="R6" i="3"/>
  <c r="BF5" i="3"/>
  <c r="BF17" i="3" s="1"/>
  <c r="AT5" i="3"/>
  <c r="AT17" i="3" s="1"/>
  <c r="BZ5" i="3"/>
  <c r="BZ17" i="3" s="1"/>
  <c r="BZ13" i="3"/>
  <c r="BZ25" i="3" s="1"/>
  <c r="R13" i="3"/>
  <c r="R25" i="3" s="1"/>
  <c r="AX13" i="3"/>
  <c r="AX25" i="3" s="1"/>
  <c r="CD13" i="3"/>
  <c r="CD25" i="3" s="1"/>
  <c r="BB4" i="3"/>
  <c r="BF35" i="3"/>
  <c r="BF47" i="3" s="1"/>
  <c r="N36" i="3"/>
  <c r="N48" i="3" s="1"/>
  <c r="AT36" i="3"/>
  <c r="AT48" i="3" s="1"/>
  <c r="BZ36" i="3"/>
  <c r="BZ48" i="3" s="1"/>
  <c r="F35" i="3"/>
  <c r="F47" i="3" s="1"/>
  <c r="AL35" i="3"/>
  <c r="AL47" i="3" s="1"/>
  <c r="AL38" i="3"/>
  <c r="AL50" i="3" s="1"/>
  <c r="J8" i="3"/>
  <c r="J20" i="3" s="1"/>
  <c r="AL37" i="3"/>
  <c r="AL49" i="3" s="1"/>
  <c r="BF34" i="3"/>
  <c r="BF46" i="3" s="1"/>
  <c r="R33" i="3"/>
  <c r="R45" i="3" s="1"/>
  <c r="BB32" i="3"/>
  <c r="R31" i="3"/>
  <c r="AW30" i="3"/>
  <c r="AK30" i="3"/>
  <c r="Y4" i="3"/>
  <c r="Y9" i="3"/>
  <c r="Y21" i="3" s="1"/>
  <c r="BM7" i="3"/>
  <c r="BM19" i="3" s="1"/>
  <c r="AG7" i="3"/>
  <c r="AG19" i="3" s="1"/>
  <c r="BQ8" i="3"/>
  <c r="BQ20" i="3" s="1"/>
  <c r="E8" i="3"/>
  <c r="E20" i="3" s="1"/>
  <c r="BI8" i="3"/>
  <c r="BI20" i="3" s="1"/>
  <c r="BI7" i="3"/>
  <c r="BI19" i="3" s="1"/>
  <c r="AC7" i="3"/>
  <c r="AC19" i="3" s="1"/>
  <c r="AG10" i="3"/>
  <c r="AG22" i="3" s="1"/>
  <c r="BM10" i="3"/>
  <c r="BM22" i="3" s="1"/>
  <c r="U10" i="3"/>
  <c r="U22" i="3" s="1"/>
  <c r="BA10" i="3"/>
  <c r="BA22" i="3" s="1"/>
  <c r="I9" i="3"/>
  <c r="I21" i="3" s="1"/>
  <c r="BA9" i="3"/>
  <c r="BA21" i="3" s="1"/>
  <c r="BI9" i="3"/>
  <c r="BI21" i="3" s="1"/>
  <c r="BE6" i="3"/>
  <c r="BA4" i="3"/>
  <c r="BQ12" i="3"/>
  <c r="BQ24" i="3" s="1"/>
  <c r="AO12" i="3"/>
  <c r="AO24" i="3" s="1"/>
  <c r="AW6" i="3"/>
  <c r="AK6" i="3"/>
  <c r="AK18" i="3" s="1"/>
  <c r="BY6" i="3"/>
  <c r="BY18" i="3" s="1"/>
  <c r="AK13" i="3"/>
  <c r="AK25" i="3" s="1"/>
  <c r="BY5" i="3"/>
  <c r="BY17" i="3" s="1"/>
  <c r="AC4" i="3"/>
  <c r="Q11" i="3"/>
  <c r="Q23" i="3" s="1"/>
  <c r="U11" i="3"/>
  <c r="U23" i="3" s="1"/>
  <c r="BQ5" i="3"/>
  <c r="BQ17" i="3" s="1"/>
  <c r="AS5" i="3"/>
  <c r="AS17" i="3" s="1"/>
  <c r="BI13" i="3"/>
  <c r="BI25" i="3" s="1"/>
  <c r="BM13" i="3"/>
  <c r="BM25" i="3" s="1"/>
  <c r="BE4" i="3"/>
  <c r="AC36" i="3"/>
  <c r="AC48" i="3" s="1"/>
  <c r="BI38" i="3"/>
  <c r="BI50" i="3" s="1"/>
  <c r="AW38" i="3"/>
  <c r="AW50" i="3" s="1"/>
  <c r="AK37" i="3"/>
  <c r="AK49" i="3" s="1"/>
  <c r="BU11" i="3"/>
  <c r="BU23" i="3" s="1"/>
  <c r="AG33" i="3"/>
  <c r="AG45" i="3" s="1"/>
  <c r="I32" i="3"/>
  <c r="AO39" i="3"/>
  <c r="BU31" i="3"/>
  <c r="AS31" i="3"/>
  <c r="AS14" i="3"/>
  <c r="AS26" i="3" s="1"/>
  <c r="AI34" i="2"/>
  <c r="AI39" i="2"/>
  <c r="AJ46" i="2"/>
  <c r="AI54" i="2"/>
  <c r="AG30" i="3"/>
  <c r="Y5" i="3"/>
  <c r="Y17" i="3" s="1"/>
  <c r="BE7" i="3"/>
  <c r="BE19" i="3" s="1"/>
  <c r="Y7" i="3"/>
  <c r="Y19" i="3" s="1"/>
  <c r="BA8" i="3"/>
  <c r="BA20" i="3" s="1"/>
  <c r="AS8" i="3"/>
  <c r="AS20" i="3" s="1"/>
  <c r="BA7" i="3"/>
  <c r="BA19" i="3" s="1"/>
  <c r="U7" i="3"/>
  <c r="U19" i="3" s="1"/>
  <c r="AW9" i="3"/>
  <c r="AW21" i="3" s="1"/>
  <c r="I10" i="3"/>
  <c r="I22" i="3" s="1"/>
  <c r="AO10" i="3"/>
  <c r="AO22" i="3" s="1"/>
  <c r="BU10" i="3"/>
  <c r="BU22" i="3" s="1"/>
  <c r="AC10" i="3"/>
  <c r="AC22" i="3" s="1"/>
  <c r="BI10" i="3"/>
  <c r="BI22" i="3" s="1"/>
  <c r="BM9" i="3"/>
  <c r="BM21" i="3" s="1"/>
  <c r="E9" i="3"/>
  <c r="E21" i="3" s="1"/>
  <c r="BQ9" i="3"/>
  <c r="BQ21" i="3" s="1"/>
  <c r="M9" i="3"/>
  <c r="M21" i="3" s="1"/>
  <c r="I5" i="3"/>
  <c r="I17" i="3" s="1"/>
  <c r="BY12" i="3"/>
  <c r="BY24" i="3" s="1"/>
  <c r="AC12" i="3"/>
  <c r="AC24" i="3" s="1"/>
  <c r="I12" i="3"/>
  <c r="I24" i="3" s="1"/>
  <c r="BE12" i="3"/>
  <c r="BE24" i="3" s="1"/>
  <c r="E6" i="3"/>
  <c r="AS6" i="3"/>
  <c r="AC11" i="3"/>
  <c r="AC23" i="3" s="1"/>
  <c r="BA5" i="3"/>
  <c r="BA17" i="3" s="1"/>
  <c r="AC5" i="3"/>
  <c r="AC17" i="3" s="1"/>
  <c r="Y13" i="3"/>
  <c r="Y25" i="3" s="1"/>
  <c r="BQ4" i="3"/>
  <c r="BQ16" i="3" s="1"/>
  <c r="AG4" i="3"/>
  <c r="AS35" i="3"/>
  <c r="AS47" i="3" s="1"/>
  <c r="I38" i="3"/>
  <c r="I50" i="3" s="1"/>
  <c r="BU38" i="3"/>
  <c r="Q37" i="3"/>
  <c r="Q49" i="3" s="1"/>
  <c r="CC37" i="3"/>
  <c r="CC49" i="3" s="1"/>
  <c r="BU37" i="3"/>
  <c r="BU49" i="3" s="1"/>
  <c r="BI37" i="3"/>
  <c r="BI49" i="3" s="1"/>
  <c r="CC8" i="3"/>
  <c r="CC20" i="3" s="1"/>
  <c r="I34" i="3"/>
  <c r="I46" i="3" s="1"/>
  <c r="Y34" i="3"/>
  <c r="Y46" i="3" s="1"/>
  <c r="AO33" i="3"/>
  <c r="AO45" i="3" s="1"/>
  <c r="CC32" i="3"/>
  <c r="AW39" i="3"/>
  <c r="BM14" i="3"/>
  <c r="BM26" i="3" s="1"/>
  <c r="CC35" i="3"/>
  <c r="CC47" i="3" s="1"/>
  <c r="AI35" i="2"/>
  <c r="CC30" i="3"/>
  <c r="Q30" i="3"/>
  <c r="BA30" i="3"/>
  <c r="Y8" i="3"/>
  <c r="Y20" i="3" s="1"/>
  <c r="AW7" i="3"/>
  <c r="AW19" i="3" s="1"/>
  <c r="Q7" i="3"/>
  <c r="Q19" i="3" s="1"/>
  <c r="AC8" i="3"/>
  <c r="AC20" i="3" s="1"/>
  <c r="AK8" i="3"/>
  <c r="AK20" i="3" s="1"/>
  <c r="BY7" i="3"/>
  <c r="BY19" i="3" s="1"/>
  <c r="AS7" i="3"/>
  <c r="AS19" i="3" s="1"/>
  <c r="M7" i="3"/>
  <c r="M19" i="3" s="1"/>
  <c r="Q9" i="3"/>
  <c r="Q21" i="3" s="1"/>
  <c r="Q10" i="3"/>
  <c r="Q22" i="3" s="1"/>
  <c r="CC10" i="3"/>
  <c r="CC22" i="3" s="1"/>
  <c r="E10" i="3"/>
  <c r="E22" i="3" s="1"/>
  <c r="AK10" i="3"/>
  <c r="AK22" i="3" s="1"/>
  <c r="BQ10" i="3"/>
  <c r="BQ22" i="3" s="1"/>
  <c r="BU9" i="3"/>
  <c r="BU21" i="3" s="1"/>
  <c r="U9" i="3"/>
  <c r="U21" i="3" s="1"/>
  <c r="BY9" i="3"/>
  <c r="BY21" i="3" s="1"/>
  <c r="AG6" i="3"/>
  <c r="BM4" i="3"/>
  <c r="M12" i="3"/>
  <c r="M24" i="3" s="1"/>
  <c r="BM12" i="3"/>
  <c r="BM24" i="3" s="1"/>
  <c r="BM6" i="3"/>
  <c r="M6" i="3"/>
  <c r="BA6" i="3"/>
  <c r="BA18" i="3" s="1"/>
  <c r="CC4" i="3"/>
  <c r="CC16" i="3" s="1"/>
  <c r="AG11" i="3"/>
  <c r="AG23" i="3" s="1"/>
  <c r="BA11" i="3"/>
  <c r="BA23" i="3" s="1"/>
  <c r="BY4" i="3"/>
  <c r="BY16" i="3" s="1"/>
  <c r="M5" i="3"/>
  <c r="M17" i="3" s="1"/>
  <c r="AG13" i="3"/>
  <c r="AG25" i="3" s="1"/>
  <c r="BE36" i="3"/>
  <c r="BE48" i="3" s="1"/>
  <c r="Q38" i="3"/>
  <c r="Q50" i="3" s="1"/>
  <c r="E37" i="3"/>
  <c r="E49" i="3" s="1"/>
  <c r="BQ37" i="3"/>
  <c r="BQ49" i="3" s="1"/>
  <c r="U34" i="3"/>
  <c r="U46" i="3" s="1"/>
  <c r="BQ34" i="3"/>
  <c r="BQ46" i="3" s="1"/>
  <c r="Q32" i="3"/>
  <c r="AI10" i="2"/>
  <c r="AI21" i="2"/>
  <c r="AJ27" i="2"/>
  <c r="AJ28" i="2"/>
  <c r="AJ45" i="2"/>
  <c r="AJ162" i="2"/>
  <c r="AJ183" i="2"/>
  <c r="E14" i="3"/>
  <c r="E26" i="3" s="1"/>
  <c r="E32" i="3"/>
  <c r="E33" i="3"/>
  <c r="E45" i="3" s="1"/>
  <c r="E36" i="3"/>
  <c r="E48" i="3" s="1"/>
  <c r="E5" i="3"/>
  <c r="E17" i="3" s="1"/>
  <c r="E35" i="3"/>
  <c r="E47" i="3" s="1"/>
  <c r="E31" i="3"/>
  <c r="E39" i="3"/>
  <c r="E4" i="3"/>
  <c r="E11" i="3"/>
  <c r="E23" i="3" s="1"/>
  <c r="E13" i="3"/>
  <c r="E25" i="3" s="1"/>
  <c r="I6" i="3"/>
  <c r="I18" i="3" s="1"/>
  <c r="I14" i="3"/>
  <c r="I26" i="3" s="1"/>
  <c r="I31" i="3"/>
  <c r="I36" i="3"/>
  <c r="I48" i="3" s="1"/>
  <c r="I8" i="3"/>
  <c r="I20" i="3" s="1"/>
  <c r="I35" i="3"/>
  <c r="I47" i="3" s="1"/>
  <c r="I4" i="3"/>
  <c r="I13" i="3"/>
  <c r="I25" i="3" s="1"/>
  <c r="M36" i="3"/>
  <c r="M48" i="3" s="1"/>
  <c r="M33" i="3"/>
  <c r="M45" i="3" s="1"/>
  <c r="M34" i="3"/>
  <c r="M46" i="3" s="1"/>
  <c r="M11" i="3"/>
  <c r="M23" i="3" s="1"/>
  <c r="M31" i="3"/>
  <c r="M37" i="3"/>
  <c r="M49" i="3" s="1"/>
  <c r="M38" i="3"/>
  <c r="M50" i="3" s="1"/>
  <c r="M4" i="3"/>
  <c r="M35" i="3"/>
  <c r="M47" i="3" s="1"/>
  <c r="Q35" i="3"/>
  <c r="Q47" i="3" s="1"/>
  <c r="Q14" i="3"/>
  <c r="Q26" i="3" s="1"/>
  <c r="Q13" i="3"/>
  <c r="Q25" i="3" s="1"/>
  <c r="Q33" i="3"/>
  <c r="Q45" i="3" s="1"/>
  <c r="Q8" i="3"/>
  <c r="Q20" i="3" s="1"/>
  <c r="Q5" i="3"/>
  <c r="Q17" i="3" s="1"/>
  <c r="Q6" i="3"/>
  <c r="Q12" i="3"/>
  <c r="Q24" i="3" s="1"/>
  <c r="Q4" i="3"/>
  <c r="Q16" i="3" s="1"/>
  <c r="U36" i="3"/>
  <c r="U48" i="3" s="1"/>
  <c r="U33" i="3"/>
  <c r="U45" i="3" s="1"/>
  <c r="U31" i="3"/>
  <c r="U37" i="3"/>
  <c r="U49" i="3" s="1"/>
  <c r="U35" i="3"/>
  <c r="U47" i="3" s="1"/>
  <c r="U4" i="3"/>
  <c r="U16" i="3" s="1"/>
  <c r="U39" i="3"/>
  <c r="U38" i="3"/>
  <c r="U50" i="3" s="1"/>
  <c r="U14" i="3"/>
  <c r="U26" i="3" s="1"/>
  <c r="Y36" i="3"/>
  <c r="Y48" i="3" s="1"/>
  <c r="Y33" i="3"/>
  <c r="Y45" i="3" s="1"/>
  <c r="Y35" i="3"/>
  <c r="Y47" i="3" s="1"/>
  <c r="Y11" i="3"/>
  <c r="Y23" i="3" s="1"/>
  <c r="Y31" i="3"/>
  <c r="Y39" i="3"/>
  <c r="Y38" i="3"/>
  <c r="Y50" i="3" s="1"/>
  <c r="Y14" i="3"/>
  <c r="Y26" i="3" s="1"/>
  <c r="AC31" i="3"/>
  <c r="AC39" i="3"/>
  <c r="AC34" i="3"/>
  <c r="AC46" i="3" s="1"/>
  <c r="AC14" i="3"/>
  <c r="AC26" i="3" s="1"/>
  <c r="AC33" i="3"/>
  <c r="AC45" i="3" s="1"/>
  <c r="AC35" i="3"/>
  <c r="AC47" i="3" s="1"/>
  <c r="AC13" i="3"/>
  <c r="AC25" i="3" s="1"/>
  <c r="AC6" i="3"/>
  <c r="AG37" i="3"/>
  <c r="AG49" i="3" s="1"/>
  <c r="AG36" i="3"/>
  <c r="AG48" i="3" s="1"/>
  <c r="AG14" i="3"/>
  <c r="AG26" i="3" s="1"/>
  <c r="AG39" i="3"/>
  <c r="AG32" i="3"/>
  <c r="AG38" i="3"/>
  <c r="AG50" i="3" s="1"/>
  <c r="AG31" i="3"/>
  <c r="AG35" i="3"/>
  <c r="AG47" i="3" s="1"/>
  <c r="AG9" i="3"/>
  <c r="AG21" i="3" s="1"/>
  <c r="AG8" i="3"/>
  <c r="AG20" i="3" s="1"/>
  <c r="AK14" i="3"/>
  <c r="AK26" i="3" s="1"/>
  <c r="AK39" i="3"/>
  <c r="AK35" i="3"/>
  <c r="AK47" i="3" s="1"/>
  <c r="AK36" i="3"/>
  <c r="AK48" i="3" s="1"/>
  <c r="AK33" i="3"/>
  <c r="AK45" i="3" s="1"/>
  <c r="AK34" i="3"/>
  <c r="AK46" i="3" s="1"/>
  <c r="AK38" i="3"/>
  <c r="AK50" i="3" s="1"/>
  <c r="AK11" i="3"/>
  <c r="AK23" i="3" s="1"/>
  <c r="AK4" i="3"/>
  <c r="AO34" i="3"/>
  <c r="AO46" i="3" s="1"/>
  <c r="AO8" i="3"/>
  <c r="AO20" i="3" s="1"/>
  <c r="AO5" i="3"/>
  <c r="AO17" i="3" s="1"/>
  <c r="AO14" i="3"/>
  <c r="AO26" i="3" s="1"/>
  <c r="AO32" i="3"/>
  <c r="AO13" i="3"/>
  <c r="AO25" i="3" s="1"/>
  <c r="AO6" i="3"/>
  <c r="AO18" i="3" s="1"/>
  <c r="AO36" i="3"/>
  <c r="AO48" i="3" s="1"/>
  <c r="AO35" i="3"/>
  <c r="AO47" i="3" s="1"/>
  <c r="AS38" i="3"/>
  <c r="AS50" i="3" s="1"/>
  <c r="AS4" i="3"/>
  <c r="AS13" i="3"/>
  <c r="AS25" i="3" s="1"/>
  <c r="AS11" i="3"/>
  <c r="AS23" i="3" s="1"/>
  <c r="AS36" i="3"/>
  <c r="AS48" i="3" s="1"/>
  <c r="AS37" i="3"/>
  <c r="AS49" i="3" s="1"/>
  <c r="AS12" i="3"/>
  <c r="AS24" i="3" s="1"/>
  <c r="AW4" i="3"/>
  <c r="AW13" i="3"/>
  <c r="AW25" i="3" s="1"/>
  <c r="AW5" i="3"/>
  <c r="AW17" i="3" s="1"/>
  <c r="AW36" i="3"/>
  <c r="AW48" i="3" s="1"/>
  <c r="AW32" i="3"/>
  <c r="AW33" i="3"/>
  <c r="AW45" i="3" s="1"/>
  <c r="AW37" i="3"/>
  <c r="AW49" i="3" s="1"/>
  <c r="AW12" i="3"/>
  <c r="AW24" i="3" s="1"/>
  <c r="AW35" i="3"/>
  <c r="AW47" i="3" s="1"/>
  <c r="BA39" i="3"/>
  <c r="BA13" i="3"/>
  <c r="BA25" i="3" s="1"/>
  <c r="BA33" i="3"/>
  <c r="BA45" i="3" s="1"/>
  <c r="BA37" i="3"/>
  <c r="BA49" i="3" s="1"/>
  <c r="BA34" i="3"/>
  <c r="BA46" i="3" s="1"/>
  <c r="BA36" i="3"/>
  <c r="BA48" i="3" s="1"/>
  <c r="BA32" i="3"/>
  <c r="BA12" i="3"/>
  <c r="BA24" i="3" s="1"/>
  <c r="BA14" i="3"/>
  <c r="BA26" i="3" s="1"/>
  <c r="BE33" i="3"/>
  <c r="BE45" i="3" s="1"/>
  <c r="BE32" i="3"/>
  <c r="BE14" i="3"/>
  <c r="BE26" i="3" s="1"/>
  <c r="BE39" i="3"/>
  <c r="BE34" i="3"/>
  <c r="BE46" i="3" s="1"/>
  <c r="BE38" i="3"/>
  <c r="BE50" i="3" s="1"/>
  <c r="BE11" i="3"/>
  <c r="BE23" i="3" s="1"/>
  <c r="BE8" i="3"/>
  <c r="BE20" i="3" s="1"/>
  <c r="BE37" i="3"/>
  <c r="BE49" i="3" s="1"/>
  <c r="BI36" i="3"/>
  <c r="BI48" i="3" s="1"/>
  <c r="BI32" i="3"/>
  <c r="BI44" i="3" s="1"/>
  <c r="BI12" i="3"/>
  <c r="BI24" i="3" s="1"/>
  <c r="BI14" i="3"/>
  <c r="BI26" i="3" s="1"/>
  <c r="BI34" i="3"/>
  <c r="BI46" i="3" s="1"/>
  <c r="BI35" i="3"/>
  <c r="BI47" i="3" s="1"/>
  <c r="BI6" i="3"/>
  <c r="BM35" i="3"/>
  <c r="BM47" i="3" s="1"/>
  <c r="BM32" i="3"/>
  <c r="BM31" i="3"/>
  <c r="BM39" i="3"/>
  <c r="BM37" i="3"/>
  <c r="BM49" i="3" s="1"/>
  <c r="BM38" i="3"/>
  <c r="BM50" i="3" s="1"/>
  <c r="BM36" i="3"/>
  <c r="BM48" i="3" s="1"/>
  <c r="BM34" i="3"/>
  <c r="BM46" i="3" s="1"/>
  <c r="BM5" i="3"/>
  <c r="BM17" i="3" s="1"/>
  <c r="BQ14" i="3"/>
  <c r="BQ26" i="3" s="1"/>
  <c r="BQ32" i="3"/>
  <c r="BQ38" i="3"/>
  <c r="BQ50" i="3" s="1"/>
  <c r="BQ35" i="3"/>
  <c r="BQ47" i="3" s="1"/>
  <c r="BQ36" i="3"/>
  <c r="BQ48" i="3" s="1"/>
  <c r="BQ13" i="3"/>
  <c r="BQ25" i="3" s="1"/>
  <c r="BQ31" i="3"/>
  <c r="BQ11" i="3"/>
  <c r="BQ23" i="3" s="1"/>
  <c r="BU8" i="3"/>
  <c r="BU20" i="3" s="1"/>
  <c r="BU5" i="3"/>
  <c r="BU17" i="3" s="1"/>
  <c r="BU32" i="3"/>
  <c r="BU4" i="3"/>
  <c r="BU16" i="3" s="1"/>
  <c r="BU13" i="3"/>
  <c r="BU25" i="3" s="1"/>
  <c r="BU6" i="3"/>
  <c r="BU14" i="3"/>
  <c r="BU26" i="3" s="1"/>
  <c r="BY31" i="3"/>
  <c r="BY32" i="3"/>
  <c r="BY33" i="3"/>
  <c r="BY45" i="3" s="1"/>
  <c r="BY11" i="3"/>
  <c r="BY23" i="3" s="1"/>
  <c r="BY34" i="3"/>
  <c r="BY46" i="3" s="1"/>
  <c r="BY39" i="3"/>
  <c r="BY37" i="3"/>
  <c r="BY49" i="3" s="1"/>
  <c r="BY36" i="3"/>
  <c r="BY48" i="3" s="1"/>
  <c r="CC36" i="3"/>
  <c r="CC48" i="3" s="1"/>
  <c r="CC7" i="3"/>
  <c r="CC19" i="3" s="1"/>
  <c r="CC6" i="3"/>
  <c r="CC13" i="3"/>
  <c r="CC25" i="3" s="1"/>
  <c r="CC5" i="3"/>
  <c r="CC17" i="3" s="1"/>
  <c r="CC34" i="3"/>
  <c r="CC46" i="3" s="1"/>
  <c r="CC33" i="3"/>
  <c r="CC45" i="3" s="1"/>
  <c r="CC12" i="3"/>
  <c r="CC24" i="3" s="1"/>
  <c r="CC14" i="3"/>
  <c r="CC26" i="3" s="1"/>
  <c r="CG38" i="3"/>
  <c r="CG50" i="3" s="1"/>
  <c r="CG11" i="3"/>
  <c r="CG23" i="3" s="1"/>
  <c r="CG35" i="3"/>
  <c r="CG47" i="3" s="1"/>
  <c r="CG9" i="3"/>
  <c r="CG21" i="3" s="1"/>
  <c r="CG39" i="3"/>
  <c r="CG10" i="3"/>
  <c r="CG22" i="3" s="1"/>
  <c r="CG12" i="3"/>
  <c r="CG24" i="3" s="1"/>
  <c r="CG7" i="3"/>
  <c r="CG19" i="3" s="1"/>
  <c r="CG6" i="3"/>
  <c r="CG32" i="3"/>
  <c r="CG34" i="3"/>
  <c r="CG46" i="3" s="1"/>
  <c r="CG31" i="3"/>
  <c r="CG14" i="3"/>
  <c r="CG26" i="3" s="1"/>
  <c r="CG36" i="3"/>
  <c r="CG48" i="3" s="1"/>
  <c r="CG37" i="3"/>
  <c r="CG49" i="3" s="1"/>
  <c r="CG5" i="3"/>
  <c r="CG17" i="3" s="1"/>
  <c r="AO31" i="3"/>
  <c r="BA31" i="3"/>
  <c r="BY14" i="3"/>
  <c r="BY26" i="3" s="1"/>
  <c r="BU36" i="3"/>
  <c r="BU48" i="3" s="1"/>
  <c r="AW14" i="3"/>
  <c r="AW26" i="3" s="1"/>
  <c r="CG4" i="3"/>
  <c r="BE35" i="3"/>
  <c r="BE47" i="3" s="1"/>
  <c r="BQ33" i="3"/>
  <c r="BQ45" i="3" s="1"/>
  <c r="AS32" i="3"/>
  <c r="AW31" i="3"/>
  <c r="AW8" i="3"/>
  <c r="AW20" i="3" s="1"/>
  <c r="U32" i="3"/>
  <c r="CG13" i="3"/>
  <c r="CG25" i="3" s="1"/>
  <c r="AC32" i="3"/>
  <c r="Q39" i="3"/>
  <c r="CC39" i="3"/>
  <c r="AK31" i="3"/>
  <c r="Y32" i="3"/>
  <c r="M14" i="3"/>
  <c r="M26" i="3" s="1"/>
  <c r="Q31" i="3"/>
  <c r="AC38" i="3"/>
  <c r="AC50" i="3" s="1"/>
  <c r="CG8" i="3"/>
  <c r="CG20" i="3" s="1"/>
  <c r="AS39" i="3"/>
  <c r="AJ8" i="2"/>
  <c r="AI8" i="2"/>
  <c r="AJ22" i="2"/>
  <c r="AI22" i="2"/>
  <c r="C8" i="3"/>
  <c r="C4" i="3"/>
  <c r="C10" i="3"/>
  <c r="C12" i="3"/>
  <c r="C9" i="3"/>
  <c r="C6" i="3"/>
  <c r="G38" i="3"/>
  <c r="G50" i="3" s="1"/>
  <c r="G11" i="3"/>
  <c r="G23" i="3" s="1"/>
  <c r="G8" i="3"/>
  <c r="G20" i="3" s="1"/>
  <c r="G5" i="3"/>
  <c r="G17" i="3" s="1"/>
  <c r="G6" i="3"/>
  <c r="G10" i="3"/>
  <c r="G22" i="3" s="1"/>
  <c r="G12" i="3"/>
  <c r="G24" i="3" s="1"/>
  <c r="G9" i="3"/>
  <c r="G21" i="3" s="1"/>
  <c r="K4" i="3"/>
  <c r="K12" i="3"/>
  <c r="K24" i="3" s="1"/>
  <c r="K9" i="3"/>
  <c r="K21" i="3" s="1"/>
  <c r="K8" i="3"/>
  <c r="K20" i="3" s="1"/>
  <c r="K6" i="3"/>
  <c r="K10" i="3"/>
  <c r="K22" i="3" s="1"/>
  <c r="O12" i="3"/>
  <c r="O24" i="3" s="1"/>
  <c r="O10" i="3"/>
  <c r="O22" i="3" s="1"/>
  <c r="O11" i="3"/>
  <c r="O23" i="3" s="1"/>
  <c r="O9" i="3"/>
  <c r="O21" i="3" s="1"/>
  <c r="O6" i="3"/>
  <c r="O18" i="3" s="1"/>
  <c r="S13" i="3"/>
  <c r="S25" i="3" s="1"/>
  <c r="S6" i="3"/>
  <c r="S10" i="3"/>
  <c r="S22" i="3" s="1"/>
  <c r="S8" i="3"/>
  <c r="S20" i="3" s="1"/>
  <c r="W6" i="3"/>
  <c r="W11" i="3"/>
  <c r="W23" i="3" s="1"/>
  <c r="W8" i="3"/>
  <c r="W20" i="3" s="1"/>
  <c r="W12" i="3"/>
  <c r="W24" i="3" s="1"/>
  <c r="W10" i="3"/>
  <c r="W22" i="3" s="1"/>
  <c r="W13" i="3"/>
  <c r="W25" i="3" s="1"/>
  <c r="AA11" i="3"/>
  <c r="AA23" i="3" s="1"/>
  <c r="AA4" i="3"/>
  <c r="AA7" i="3"/>
  <c r="AA19" i="3" s="1"/>
  <c r="AA10" i="3"/>
  <c r="AA22" i="3" s="1"/>
  <c r="AA38" i="3"/>
  <c r="AA50" i="3" s="1"/>
  <c r="AA12" i="3"/>
  <c r="AA24" i="3" s="1"/>
  <c r="AA9" i="3"/>
  <c r="AA21" i="3" s="1"/>
  <c r="AE6" i="3"/>
  <c r="AE7" i="3"/>
  <c r="AE19" i="3" s="1"/>
  <c r="AE9" i="3"/>
  <c r="AE21" i="3" s="1"/>
  <c r="AE10" i="3"/>
  <c r="AE22" i="3" s="1"/>
  <c r="AE8" i="3"/>
  <c r="AE20" i="3" s="1"/>
  <c r="AE11" i="3"/>
  <c r="AE23" i="3" s="1"/>
  <c r="AI38" i="3"/>
  <c r="AI50" i="3" s="1"/>
  <c r="AI39" i="3"/>
  <c r="AI10" i="3"/>
  <c r="AI22" i="3" s="1"/>
  <c r="AI8" i="3"/>
  <c r="AI20" i="3" s="1"/>
  <c r="AI6" i="3"/>
  <c r="AI18" i="3" s="1"/>
  <c r="AI35" i="3"/>
  <c r="AI47" i="3" s="1"/>
  <c r="AI12" i="3"/>
  <c r="AI24" i="3" s="1"/>
  <c r="AI9" i="3"/>
  <c r="AI21" i="3" s="1"/>
  <c r="AI31" i="3"/>
  <c r="AI4" i="3"/>
  <c r="AM11" i="3"/>
  <c r="AM23" i="3" s="1"/>
  <c r="AM12" i="3"/>
  <c r="AM24" i="3" s="1"/>
  <c r="AM7" i="3"/>
  <c r="AM19" i="3" s="1"/>
  <c r="AM8" i="3"/>
  <c r="AM20" i="3" s="1"/>
  <c r="AM4" i="3"/>
  <c r="AM6" i="3"/>
  <c r="AQ12" i="3"/>
  <c r="AQ24" i="3" s="1"/>
  <c r="AQ9" i="3"/>
  <c r="AQ21" i="3" s="1"/>
  <c r="AQ5" i="3"/>
  <c r="AQ17" i="3" s="1"/>
  <c r="AQ6" i="3"/>
  <c r="AQ8" i="3"/>
  <c r="AQ20" i="3" s="1"/>
  <c r="AU6" i="3"/>
  <c r="AU9" i="3"/>
  <c r="AU21" i="3" s="1"/>
  <c r="AU8" i="3"/>
  <c r="AU20" i="3" s="1"/>
  <c r="AY6" i="3"/>
  <c r="AY18" i="3" s="1"/>
  <c r="AY8" i="3"/>
  <c r="AY20" i="3" s="1"/>
  <c r="AY11" i="3"/>
  <c r="AY23" i="3" s="1"/>
  <c r="BC34" i="3"/>
  <c r="BC46" i="3" s="1"/>
  <c r="BC5" i="3"/>
  <c r="BC17" i="3" s="1"/>
  <c r="BC7" i="3"/>
  <c r="BC19" i="3" s="1"/>
  <c r="BC6" i="3"/>
  <c r="BC9" i="3"/>
  <c r="BC21" i="3" s="1"/>
  <c r="BC10" i="3"/>
  <c r="BC22" i="3" s="1"/>
  <c r="BG9" i="3"/>
  <c r="BG21" i="3" s="1"/>
  <c r="BG10" i="3"/>
  <c r="BG22" i="3" s="1"/>
  <c r="BG12" i="3"/>
  <c r="BG24" i="3" s="1"/>
  <c r="BK7" i="3"/>
  <c r="BK19" i="3" s="1"/>
  <c r="BK9" i="3"/>
  <c r="BK21" i="3" s="1"/>
  <c r="BK8" i="3"/>
  <c r="BK20" i="3" s="1"/>
  <c r="BK10" i="3"/>
  <c r="BK22" i="3" s="1"/>
  <c r="BK12" i="3"/>
  <c r="BK24" i="3" s="1"/>
  <c r="BK38" i="3"/>
  <c r="BK50" i="3" s="1"/>
  <c r="BO11" i="3"/>
  <c r="BO23" i="3" s="1"/>
  <c r="BO8" i="3"/>
  <c r="BO20" i="3" s="1"/>
  <c r="BO10" i="3"/>
  <c r="BO22" i="3" s="1"/>
  <c r="BO12" i="3"/>
  <c r="BO24" i="3" s="1"/>
  <c r="BO9" i="3"/>
  <c r="BO21" i="3" s="1"/>
  <c r="BO6" i="3"/>
  <c r="BS37" i="3"/>
  <c r="BS49" i="3" s="1"/>
  <c r="BS8" i="3"/>
  <c r="BS20" i="3" s="1"/>
  <c r="BS10" i="3"/>
  <c r="BS22" i="3" s="1"/>
  <c r="BW12" i="3"/>
  <c r="BW24" i="3" s="1"/>
  <c r="BW5" i="3"/>
  <c r="BW17" i="3" s="1"/>
  <c r="BW9" i="3"/>
  <c r="BW21" i="3" s="1"/>
  <c r="BW8" i="3"/>
  <c r="BW20" i="3" s="1"/>
  <c r="BW10" i="3"/>
  <c r="BW22" i="3" s="1"/>
  <c r="BW6" i="3"/>
  <c r="BW18" i="3" s="1"/>
  <c r="BW4" i="3"/>
  <c r="CA11" i="3"/>
  <c r="CA23" i="3" s="1"/>
  <c r="CA12" i="3"/>
  <c r="CA24" i="3" s="1"/>
  <c r="CA6" i="3"/>
  <c r="CA18" i="3" s="1"/>
  <c r="CA8" i="3"/>
  <c r="CA20" i="3" s="1"/>
  <c r="CA9" i="3"/>
  <c r="CA21" i="3" s="1"/>
  <c r="CE33" i="3"/>
  <c r="CE45" i="3" s="1"/>
  <c r="CE10" i="3"/>
  <c r="CE22" i="3" s="1"/>
  <c r="AJ43" i="2"/>
  <c r="AI43" i="2"/>
  <c r="AJ44" i="2"/>
  <c r="AI44" i="2"/>
  <c r="AH34" i="3" s="1"/>
  <c r="AH46" i="3" s="1"/>
  <c r="AJ47" i="2"/>
  <c r="AI47" i="2"/>
  <c r="AI29" i="2"/>
  <c r="AJ29" i="2"/>
  <c r="AI51" i="2"/>
  <c r="F14" i="3"/>
  <c r="F26" i="3" s="1"/>
  <c r="F39" i="3"/>
  <c r="F32" i="3"/>
  <c r="J37" i="3"/>
  <c r="J49" i="3" s="1"/>
  <c r="J7" i="3"/>
  <c r="J19" i="3" s="1"/>
  <c r="J5" i="3"/>
  <c r="J17" i="3" s="1"/>
  <c r="J32" i="3"/>
  <c r="J39" i="3"/>
  <c r="J34" i="3"/>
  <c r="J46" i="3" s="1"/>
  <c r="N32" i="3"/>
  <c r="N33" i="3"/>
  <c r="N45" i="3" s="1"/>
  <c r="N14" i="3"/>
  <c r="N26" i="3" s="1"/>
  <c r="R32" i="3"/>
  <c r="R34" i="3"/>
  <c r="R46" i="3" s="1"/>
  <c r="V31" i="3"/>
  <c r="V33" i="3"/>
  <c r="V45" i="3" s="1"/>
  <c r="V38" i="3"/>
  <c r="V50" i="3" s="1"/>
  <c r="V37" i="3"/>
  <c r="V49" i="3" s="1"/>
  <c r="Z8" i="3"/>
  <c r="Z20" i="3" s="1"/>
  <c r="Z36" i="3"/>
  <c r="Z48" i="3" s="1"/>
  <c r="Z31" i="3"/>
  <c r="Z37" i="3"/>
  <c r="Z49" i="3" s="1"/>
  <c r="Z35" i="3"/>
  <c r="Z47" i="3" s="1"/>
  <c r="AD37" i="3"/>
  <c r="AD49" i="3" s="1"/>
  <c r="AD31" i="3"/>
  <c r="AD38" i="3"/>
  <c r="AD50" i="3" s="1"/>
  <c r="AD14" i="3"/>
  <c r="AD26" i="3" s="1"/>
  <c r="AH7" i="3"/>
  <c r="AH19" i="3" s="1"/>
  <c r="AH31" i="3"/>
  <c r="AH39" i="3"/>
  <c r="AL7" i="3"/>
  <c r="AL19" i="3" s="1"/>
  <c r="AL14" i="3"/>
  <c r="AL26" i="3" s="1"/>
  <c r="AP38" i="3"/>
  <c r="AP50" i="3" s="1"/>
  <c r="AP14" i="3"/>
  <c r="AP26" i="3" s="1"/>
  <c r="AP39" i="3"/>
  <c r="AP8" i="3"/>
  <c r="AP20" i="3" s="1"/>
  <c r="AP34" i="3"/>
  <c r="AP46" i="3" s="1"/>
  <c r="AP32" i="3"/>
  <c r="AT14" i="3"/>
  <c r="AT26" i="3" s="1"/>
  <c r="AT39" i="3"/>
  <c r="AT34" i="3"/>
  <c r="AT46" i="3" s="1"/>
  <c r="AT32" i="3"/>
  <c r="AT37" i="3"/>
  <c r="AT49" i="3" s="1"/>
  <c r="AX36" i="3"/>
  <c r="AX48" i="3" s="1"/>
  <c r="AX31" i="3"/>
  <c r="AX34" i="3"/>
  <c r="AX46" i="3" s="1"/>
  <c r="AX32" i="3"/>
  <c r="BB13" i="3"/>
  <c r="BB25" i="3" s="1"/>
  <c r="BB31" i="3"/>
  <c r="BB33" i="3"/>
  <c r="BB45" i="3" s="1"/>
  <c r="BB38" i="3"/>
  <c r="BB50" i="3" s="1"/>
  <c r="BF32" i="3"/>
  <c r="BF33" i="3"/>
  <c r="BF45" i="3" s="1"/>
  <c r="BF38" i="3"/>
  <c r="BF50" i="3" s="1"/>
  <c r="BJ31" i="3"/>
  <c r="BJ43" i="3" s="1"/>
  <c r="BJ32" i="3"/>
  <c r="BJ44" i="3" s="1"/>
  <c r="BJ38" i="3"/>
  <c r="BJ50" i="3" s="1"/>
  <c r="BJ7" i="3"/>
  <c r="BJ19" i="3" s="1"/>
  <c r="BJ34" i="3"/>
  <c r="BJ46" i="3" s="1"/>
  <c r="BN33" i="3"/>
  <c r="BN45" i="3" s="1"/>
  <c r="BN36" i="3"/>
  <c r="BN48" i="3" s="1"/>
  <c r="BN32" i="3"/>
  <c r="BN39" i="3"/>
  <c r="BN38" i="3"/>
  <c r="BN50" i="3" s="1"/>
  <c r="BR39" i="3"/>
  <c r="BR14" i="3"/>
  <c r="BR26" i="3" s="1"/>
  <c r="BR32" i="3"/>
  <c r="BR37" i="3"/>
  <c r="BR49" i="3" s="1"/>
  <c r="BR35" i="3"/>
  <c r="BR47" i="3" s="1"/>
  <c r="BV35" i="3"/>
  <c r="BV47" i="3" s="1"/>
  <c r="BV31" i="3"/>
  <c r="BV39" i="3"/>
  <c r="BV14" i="3"/>
  <c r="BV26" i="3" s="1"/>
  <c r="BV32" i="3"/>
  <c r="BV33" i="3"/>
  <c r="BV45" i="3" s="1"/>
  <c r="BV34" i="3"/>
  <c r="BV46" i="3" s="1"/>
  <c r="BZ14" i="3"/>
  <c r="BZ26" i="3" s="1"/>
  <c r="BZ33" i="3"/>
  <c r="BZ45" i="3" s="1"/>
  <c r="BZ32" i="3"/>
  <c r="BZ39" i="3"/>
  <c r="BZ34" i="3"/>
  <c r="BZ46" i="3" s="1"/>
  <c r="CD14" i="3"/>
  <c r="CD26" i="3" s="1"/>
  <c r="CD34" i="3"/>
  <c r="CD46" i="3" s="1"/>
  <c r="CD33" i="3"/>
  <c r="CD45" i="3" s="1"/>
  <c r="CH39" i="3"/>
  <c r="CH33" i="3"/>
  <c r="CH45" i="3" s="1"/>
  <c r="AI14" i="2"/>
  <c r="AI28" i="2"/>
  <c r="AJ157" i="2"/>
  <c r="AI18" i="2"/>
  <c r="AI33" i="2"/>
  <c r="AI50" i="2"/>
  <c r="AJ155" i="2"/>
  <c r="AJ13" i="2"/>
  <c r="AJ14" i="2"/>
  <c r="AI26" i="2"/>
  <c r="AI27" i="2"/>
  <c r="AI31" i="2"/>
  <c r="AI32" i="2"/>
  <c r="AI46" i="2"/>
  <c r="AJ158" i="2"/>
  <c r="AJ154" i="2"/>
  <c r="AI183" i="2"/>
  <c r="L66" i="1"/>
  <c r="L42" i="1" s="1"/>
  <c r="I47" i="1"/>
  <c r="H47" i="1" s="1"/>
  <c r="H20" i="1" s="1"/>
  <c r="L58" i="1"/>
  <c r="L34" i="1" s="1"/>
  <c r="C13" i="3"/>
  <c r="C11" i="3"/>
  <c r="D47" i="1"/>
  <c r="D20" i="1" s="1"/>
  <c r="P59" i="1"/>
  <c r="P32" i="1" s="1"/>
  <c r="L50" i="1"/>
  <c r="L26" i="1" s="1"/>
  <c r="C14" i="3"/>
  <c r="C5" i="3"/>
  <c r="G31" i="3"/>
  <c r="G32" i="3"/>
  <c r="G7" i="3"/>
  <c r="G19" i="3" s="1"/>
  <c r="G34" i="3"/>
  <c r="G46" i="3" s="1"/>
  <c r="G33" i="3"/>
  <c r="G45" i="3" s="1"/>
  <c r="G36" i="3"/>
  <c r="G48" i="3" s="1"/>
  <c r="G35" i="3"/>
  <c r="G47" i="3" s="1"/>
  <c r="G4" i="3"/>
  <c r="K32" i="3"/>
  <c r="K33" i="3"/>
  <c r="K45" i="3" s="1"/>
  <c r="K37" i="3"/>
  <c r="K49" i="3" s="1"/>
  <c r="K13" i="3"/>
  <c r="K25" i="3" s="1"/>
  <c r="K5" i="3"/>
  <c r="K17" i="3" s="1"/>
  <c r="K11" i="3"/>
  <c r="K23" i="3" s="1"/>
  <c r="K36" i="3"/>
  <c r="K48" i="3" s="1"/>
  <c r="K14" i="3"/>
  <c r="K26" i="3" s="1"/>
  <c r="K31" i="3"/>
  <c r="K34" i="3"/>
  <c r="K46" i="3" s="1"/>
  <c r="K38" i="3"/>
  <c r="K50" i="3" s="1"/>
  <c r="K35" i="3"/>
  <c r="K47" i="3" s="1"/>
  <c r="O38" i="3"/>
  <c r="O50" i="3" s="1"/>
  <c r="O35" i="3"/>
  <c r="O47" i="3" s="1"/>
  <c r="O36" i="3"/>
  <c r="O48" i="3" s="1"/>
  <c r="O14" i="3"/>
  <c r="O26" i="3" s="1"/>
  <c r="O34" i="3"/>
  <c r="O46" i="3" s="1"/>
  <c r="O4" i="3"/>
  <c r="O13" i="3"/>
  <c r="O25" i="3" s="1"/>
  <c r="O39" i="3"/>
  <c r="O33" i="3"/>
  <c r="O45" i="3" s="1"/>
  <c r="O31" i="3"/>
  <c r="O37" i="3"/>
  <c r="O49" i="3" s="1"/>
  <c r="S31" i="3"/>
  <c r="S34" i="3"/>
  <c r="S46" i="3" s="1"/>
  <c r="S33" i="3"/>
  <c r="S45" i="3" s="1"/>
  <c r="S38" i="3"/>
  <c r="S50" i="3" s="1"/>
  <c r="S35" i="3"/>
  <c r="S47" i="3" s="1"/>
  <c r="S4" i="3"/>
  <c r="S32" i="3"/>
  <c r="S36" i="3"/>
  <c r="S48" i="3" s="1"/>
  <c r="S39" i="3"/>
  <c r="S37" i="3"/>
  <c r="S49" i="3" s="1"/>
  <c r="W34" i="3"/>
  <c r="W46" i="3" s="1"/>
  <c r="W4" i="3"/>
  <c r="W16" i="3" s="1"/>
  <c r="W14" i="3"/>
  <c r="W26" i="3" s="1"/>
  <c r="W31" i="3"/>
  <c r="W39" i="3"/>
  <c r="W37" i="3"/>
  <c r="W49" i="3" s="1"/>
  <c r="W38" i="3"/>
  <c r="W50" i="3" s="1"/>
  <c r="W7" i="3"/>
  <c r="W19" i="3" s="1"/>
  <c r="W33" i="3"/>
  <c r="W45" i="3" s="1"/>
  <c r="W32" i="3"/>
  <c r="AA35" i="3"/>
  <c r="AA47" i="3" s="1"/>
  <c r="AA32" i="3"/>
  <c r="AA33" i="3"/>
  <c r="AA45" i="3" s="1"/>
  <c r="AA34" i="3"/>
  <c r="AA46" i="3" s="1"/>
  <c r="AA36" i="3"/>
  <c r="AA48" i="3" s="1"/>
  <c r="AA31" i="3"/>
  <c r="AA39" i="3"/>
  <c r="AA14" i="3"/>
  <c r="AA26" i="3" s="1"/>
  <c r="AA13" i="3"/>
  <c r="AA25" i="3" s="1"/>
  <c r="AE4" i="3"/>
  <c r="AE35" i="3"/>
  <c r="AE47" i="3" s="1"/>
  <c r="AE39" i="3"/>
  <c r="AE34" i="3"/>
  <c r="AE46" i="3" s="1"/>
  <c r="AE37" i="3"/>
  <c r="AE49" i="3" s="1"/>
  <c r="AE38" i="3"/>
  <c r="AE50" i="3" s="1"/>
  <c r="AE14" i="3"/>
  <c r="AE26" i="3" s="1"/>
  <c r="AE32" i="3"/>
  <c r="AE12" i="3"/>
  <c r="AE24" i="3" s="1"/>
  <c r="AE33" i="3"/>
  <c r="AE45" i="3" s="1"/>
  <c r="AE36" i="3"/>
  <c r="AE48" i="3" s="1"/>
  <c r="AI33" i="3"/>
  <c r="AI45" i="3" s="1"/>
  <c r="AI11" i="3"/>
  <c r="AI23" i="3" s="1"/>
  <c r="AI36" i="3"/>
  <c r="AI48" i="3" s="1"/>
  <c r="AI13" i="3"/>
  <c r="AI25" i="3" s="1"/>
  <c r="AI37" i="3"/>
  <c r="AI49" i="3" s="1"/>
  <c r="AI32" i="3"/>
  <c r="AI34" i="3"/>
  <c r="AI46" i="3" s="1"/>
  <c r="AM14" i="3"/>
  <c r="AM26" i="3" s="1"/>
  <c r="AM32" i="3"/>
  <c r="AM33" i="3"/>
  <c r="AM45" i="3" s="1"/>
  <c r="AM36" i="3"/>
  <c r="AM48" i="3" s="1"/>
  <c r="AM31" i="3"/>
  <c r="AM38" i="3"/>
  <c r="AM50" i="3" s="1"/>
  <c r="AM5" i="3"/>
  <c r="AM17" i="3" s="1"/>
  <c r="AQ37" i="3"/>
  <c r="AQ49" i="3" s="1"/>
  <c r="AQ13" i="3"/>
  <c r="AQ25" i="3" s="1"/>
  <c r="AQ33" i="3"/>
  <c r="AQ45" i="3" s="1"/>
  <c r="AQ4" i="3"/>
  <c r="AQ11" i="3"/>
  <c r="AQ23" i="3" s="1"/>
  <c r="AQ34" i="3"/>
  <c r="AQ46" i="3" s="1"/>
  <c r="AQ38" i="3"/>
  <c r="AQ50" i="3" s="1"/>
  <c r="AQ35" i="3"/>
  <c r="AQ47" i="3" s="1"/>
  <c r="AQ36" i="3"/>
  <c r="AQ48" i="3" s="1"/>
  <c r="AU10" i="3"/>
  <c r="AU22" i="3" s="1"/>
  <c r="AU33" i="3"/>
  <c r="AU45" i="3" s="1"/>
  <c r="AU36" i="3"/>
  <c r="AU48" i="3" s="1"/>
  <c r="AU35" i="3"/>
  <c r="AU47" i="3" s="1"/>
  <c r="AU12" i="3"/>
  <c r="AU24" i="3" s="1"/>
  <c r="AU31" i="3"/>
  <c r="AU5" i="3"/>
  <c r="AU17" i="3" s="1"/>
  <c r="AU38" i="3"/>
  <c r="AU50" i="3" s="1"/>
  <c r="AU39" i="3"/>
  <c r="AU37" i="3"/>
  <c r="AU49" i="3" s="1"/>
  <c r="AU7" i="3"/>
  <c r="AU19" i="3" s="1"/>
  <c r="AU4" i="3"/>
  <c r="AU11" i="3"/>
  <c r="AU23" i="3" s="1"/>
  <c r="AY14" i="3"/>
  <c r="AY26" i="3" s="1"/>
  <c r="AY39" i="3"/>
  <c r="AY33" i="3"/>
  <c r="AY45" i="3" s="1"/>
  <c r="AY38" i="3"/>
  <c r="AY50" i="3" s="1"/>
  <c r="AY31" i="3"/>
  <c r="AY32" i="3"/>
  <c r="AY34" i="3"/>
  <c r="AY46" i="3" s="1"/>
  <c r="AY35" i="3"/>
  <c r="AY47" i="3" s="1"/>
  <c r="AY5" i="3"/>
  <c r="AY17" i="3" s="1"/>
  <c r="AY7" i="3"/>
  <c r="AY19" i="3" s="1"/>
  <c r="AY36" i="3"/>
  <c r="AY48" i="3" s="1"/>
  <c r="AY4" i="3"/>
  <c r="BC35" i="3"/>
  <c r="BC47" i="3" s="1"/>
  <c r="BC38" i="3"/>
  <c r="BC50" i="3" s="1"/>
  <c r="BC39" i="3"/>
  <c r="BC37" i="3"/>
  <c r="BC49" i="3" s="1"/>
  <c r="BC4" i="3"/>
  <c r="BC11" i="3"/>
  <c r="BC23" i="3" s="1"/>
  <c r="BC14" i="3"/>
  <c r="BC26" i="3" s="1"/>
  <c r="BC31" i="3"/>
  <c r="BC32" i="3"/>
  <c r="BG38" i="3"/>
  <c r="BG50" i="3" s="1"/>
  <c r="BG35" i="3"/>
  <c r="BG47" i="3" s="1"/>
  <c r="BG7" i="3"/>
  <c r="BG19" i="3" s="1"/>
  <c r="BG4" i="3"/>
  <c r="BG11" i="3"/>
  <c r="BG23" i="3" s="1"/>
  <c r="BG5" i="3"/>
  <c r="BG17" i="3" s="1"/>
  <c r="BG14" i="3"/>
  <c r="BG26" i="3" s="1"/>
  <c r="BG36" i="3"/>
  <c r="BG48" i="3" s="1"/>
  <c r="BG39" i="3"/>
  <c r="BG32" i="3"/>
  <c r="BG34" i="3"/>
  <c r="BG46" i="3" s="1"/>
  <c r="BG13" i="3"/>
  <c r="BG25" i="3" s="1"/>
  <c r="BK31" i="3"/>
  <c r="BK39" i="3"/>
  <c r="BK14" i="3"/>
  <c r="BK26" i="3" s="1"/>
  <c r="BK37" i="3"/>
  <c r="BK49" i="3" s="1"/>
  <c r="BK4" i="3"/>
  <c r="BK16" i="3" s="1"/>
  <c r="BK34" i="3"/>
  <c r="BK46" i="3" s="1"/>
  <c r="BK35" i="3"/>
  <c r="BK47" i="3" s="1"/>
  <c r="BK32" i="3"/>
  <c r="BK33" i="3"/>
  <c r="BK45" i="3" s="1"/>
  <c r="BK11" i="3"/>
  <c r="BK23" i="3" s="1"/>
  <c r="BK36" i="3"/>
  <c r="BK48" i="3" s="1"/>
  <c r="BK13" i="3"/>
  <c r="BK25" i="3" s="1"/>
  <c r="BO31" i="3"/>
  <c r="BO38" i="3"/>
  <c r="BO50" i="3" s="1"/>
  <c r="BO34" i="3"/>
  <c r="BO46" i="3" s="1"/>
  <c r="BO36" i="3"/>
  <c r="BO48" i="3" s="1"/>
  <c r="BO14" i="3"/>
  <c r="BO26" i="3" s="1"/>
  <c r="BO32" i="3"/>
  <c r="BO33" i="3"/>
  <c r="BO45" i="3" s="1"/>
  <c r="BO37" i="3"/>
  <c r="BO49" i="3" s="1"/>
  <c r="BO13" i="3"/>
  <c r="BO25" i="3" s="1"/>
  <c r="BO4" i="3"/>
  <c r="BO39" i="3"/>
  <c r="BO5" i="3"/>
  <c r="BO17" i="3" s="1"/>
  <c r="BS32" i="3"/>
  <c r="BS31" i="3"/>
  <c r="BS33" i="3"/>
  <c r="BS45" i="3" s="1"/>
  <c r="BS36" i="3"/>
  <c r="BS48" i="3" s="1"/>
  <c r="BS13" i="3"/>
  <c r="BS25" i="3" s="1"/>
  <c r="BS7" i="3"/>
  <c r="BS19" i="3" s="1"/>
  <c r="BS12" i="3"/>
  <c r="BS24" i="3" s="1"/>
  <c r="BS14" i="3"/>
  <c r="BS26" i="3" s="1"/>
  <c r="BS38" i="3"/>
  <c r="BS50" i="3" s="1"/>
  <c r="BS35" i="3"/>
  <c r="BS47" i="3" s="1"/>
  <c r="BS5" i="3"/>
  <c r="BS17" i="3" s="1"/>
  <c r="BS11" i="3"/>
  <c r="BS23" i="3" s="1"/>
  <c r="BW7" i="3"/>
  <c r="BW19" i="3" s="1"/>
  <c r="BW14" i="3"/>
  <c r="BW26" i="3" s="1"/>
  <c r="BW31" i="3"/>
  <c r="BW13" i="3"/>
  <c r="BW25" i="3" s="1"/>
  <c r="BW32" i="3"/>
  <c r="BW33" i="3"/>
  <c r="BW45" i="3" s="1"/>
  <c r="BW38" i="3"/>
  <c r="BW50" i="3" s="1"/>
  <c r="BW39" i="3"/>
  <c r="BW11" i="3"/>
  <c r="BW23" i="3" s="1"/>
  <c r="BW35" i="3"/>
  <c r="BW47" i="3" s="1"/>
  <c r="CA36" i="3"/>
  <c r="CA48" i="3" s="1"/>
  <c r="CA13" i="3"/>
  <c r="CA25" i="3" s="1"/>
  <c r="CA38" i="3"/>
  <c r="CA50" i="3" s="1"/>
  <c r="CA14" i="3"/>
  <c r="CA26" i="3" s="1"/>
  <c r="CA32" i="3"/>
  <c r="CA31" i="3"/>
  <c r="CA5" i="3"/>
  <c r="CA17" i="3" s="1"/>
  <c r="CA35" i="3"/>
  <c r="CA47" i="3" s="1"/>
  <c r="CA39" i="3"/>
  <c r="CA33" i="3"/>
  <c r="CA45" i="3" s="1"/>
  <c r="CA34" i="3"/>
  <c r="CA46" i="3" s="1"/>
  <c r="CA37" i="3"/>
  <c r="CA49" i="3" s="1"/>
  <c r="CA4" i="3"/>
  <c r="CE9" i="3"/>
  <c r="CE21" i="3" s="1"/>
  <c r="CE13" i="3"/>
  <c r="CE25" i="3" s="1"/>
  <c r="CE12" i="3"/>
  <c r="CE24" i="3" s="1"/>
  <c r="CE4" i="3"/>
  <c r="CE16" i="3" s="1"/>
  <c r="CE39" i="3"/>
  <c r="CE34" i="3"/>
  <c r="CE46" i="3" s="1"/>
  <c r="CE37" i="3"/>
  <c r="CE49" i="3" s="1"/>
  <c r="CE35" i="3"/>
  <c r="CE47" i="3" s="1"/>
  <c r="CE14" i="3"/>
  <c r="CE26" i="3" s="1"/>
  <c r="CE7" i="3"/>
  <c r="CE19" i="3" s="1"/>
  <c r="CE36" i="3"/>
  <c r="CE48" i="3" s="1"/>
  <c r="CE38" i="3"/>
  <c r="CE50" i="3" s="1"/>
  <c r="K39" i="3"/>
  <c r="BS39" i="3"/>
  <c r="CE31" i="3"/>
  <c r="CE32" i="3"/>
  <c r="S14" i="3"/>
  <c r="S26" i="3" s="1"/>
  <c r="AI14" i="3"/>
  <c r="AI26" i="3" s="1"/>
  <c r="AM13" i="3"/>
  <c r="AM25" i="3" s="1"/>
  <c r="BG31" i="3"/>
  <c r="AQ32" i="3"/>
  <c r="AI7" i="3"/>
  <c r="AI19" i="3" s="1"/>
  <c r="BG33" i="3"/>
  <c r="BG45" i="3" s="1"/>
  <c r="CE6" i="3"/>
  <c r="CE18" i="3" s="1"/>
  <c r="CE5" i="3"/>
  <c r="CE17" i="3" s="1"/>
  <c r="CE11" i="3"/>
  <c r="CE23" i="3" s="1"/>
  <c r="I56" i="1"/>
  <c r="H56" i="1" s="1"/>
  <c r="H29" i="1" s="1"/>
  <c r="D55" i="1"/>
  <c r="D28" i="1" s="1"/>
  <c r="BC13" i="3"/>
  <c r="BC25" i="3" s="1"/>
  <c r="AA5" i="3"/>
  <c r="AA17" i="3" s="1"/>
  <c r="S5" i="3"/>
  <c r="S17" i="3" s="1"/>
  <c r="W5" i="3"/>
  <c r="W17" i="3" s="1"/>
  <c r="AU13" i="3"/>
  <c r="AU25" i="3" s="1"/>
  <c r="AY13" i="3"/>
  <c r="AY25" i="3" s="1"/>
  <c r="BS4" i="3"/>
  <c r="BC36" i="3"/>
  <c r="BC48" i="3" s="1"/>
  <c r="BO35" i="3"/>
  <c r="BO47" i="3" s="1"/>
  <c r="C7" i="3"/>
  <c r="BG37" i="3"/>
  <c r="BG49" i="3" s="1"/>
  <c r="G37" i="3"/>
  <c r="G49" i="3" s="1"/>
  <c r="AU34" i="3"/>
  <c r="AU46" i="3" s="1"/>
  <c r="AU14" i="3"/>
  <c r="AU26" i="3" s="1"/>
  <c r="O32" i="3"/>
  <c r="AM35" i="3"/>
  <c r="AM47" i="3" s="1"/>
  <c r="G14" i="3"/>
  <c r="G26" i="3" s="1"/>
  <c r="G13" i="3"/>
  <c r="G25" i="3" s="1"/>
  <c r="P51" i="1"/>
  <c r="P24" i="1" s="1"/>
  <c r="AE5" i="3"/>
  <c r="AE17" i="3" s="1"/>
  <c r="BO7" i="3"/>
  <c r="BO19" i="3" s="1"/>
  <c r="AA37" i="3"/>
  <c r="AA49" i="3" s="1"/>
  <c r="AY37" i="3"/>
  <c r="AY49" i="3" s="1"/>
  <c r="AM37" i="3"/>
  <c r="AM49" i="3" s="1"/>
  <c r="BW34" i="3"/>
  <c r="BW46" i="3" s="1"/>
  <c r="BC33" i="3"/>
  <c r="BC45" i="3" s="1"/>
  <c r="AU32" i="3"/>
  <c r="CA10" i="3"/>
  <c r="CA22" i="3" s="1"/>
  <c r="AQ39" i="3"/>
  <c r="G39" i="3"/>
  <c r="AE31" i="3"/>
  <c r="AQ31" i="3"/>
  <c r="AQ14" i="3"/>
  <c r="AQ26" i="3" s="1"/>
  <c r="AM34" i="3"/>
  <c r="AM46" i="3" s="1"/>
  <c r="BW37" i="3"/>
  <c r="BW49" i="3" s="1"/>
  <c r="W35" i="3"/>
  <c r="W47" i="3" s="1"/>
  <c r="BW36" i="3"/>
  <c r="BW48" i="3" s="1"/>
  <c r="K7" i="3"/>
  <c r="K19" i="3" s="1"/>
  <c r="O7" i="3"/>
  <c r="O19" i="3" s="1"/>
  <c r="CE8" i="3"/>
  <c r="CE20" i="3" s="1"/>
  <c r="P55" i="1"/>
  <c r="P28" i="1" s="1"/>
  <c r="AI37" i="2"/>
  <c r="AJ37" i="2"/>
  <c r="AJ38" i="2"/>
  <c r="AI38" i="2"/>
  <c r="AJ42" i="2"/>
  <c r="I60" i="1"/>
  <c r="H60" i="1" s="1"/>
  <c r="H33" i="1" s="1"/>
  <c r="L62" i="1"/>
  <c r="L38" i="1" s="1"/>
  <c r="AI15" i="2"/>
  <c r="AI25" i="2"/>
  <c r="AI45" i="2"/>
  <c r="AI49" i="2"/>
  <c r="AJ49" i="2"/>
  <c r="D56" i="1"/>
  <c r="D29" i="1" s="1"/>
  <c r="D48" i="1"/>
  <c r="D21" i="1" s="1"/>
  <c r="T48" i="1"/>
  <c r="T21" i="1" s="1"/>
  <c r="P58" i="1"/>
  <c r="P31" i="1" s="1"/>
  <c r="P54" i="1"/>
  <c r="P27" i="1" s="1"/>
  <c r="P50" i="1"/>
  <c r="P23" i="1" s="1"/>
  <c r="L69" i="1"/>
  <c r="L65" i="1"/>
  <c r="L41" i="1" s="1"/>
  <c r="L61" i="1"/>
  <c r="L37" i="1" s="1"/>
  <c r="L57" i="1"/>
  <c r="L33" i="1" s="1"/>
  <c r="L53" i="1"/>
  <c r="L29" i="1" s="1"/>
  <c r="L49" i="1"/>
  <c r="L25" i="1" s="1"/>
  <c r="I59" i="1"/>
  <c r="H59" i="1" s="1"/>
  <c r="H32" i="1" s="1"/>
  <c r="I55" i="1"/>
  <c r="H55" i="1" s="1"/>
  <c r="H28" i="1" s="1"/>
  <c r="I51" i="1"/>
  <c r="H51" i="1" s="1"/>
  <c r="H24" i="1" s="1"/>
  <c r="T51" i="1"/>
  <c r="T24" i="1" s="1"/>
  <c r="D50" i="1"/>
  <c r="D23" i="1" s="1"/>
  <c r="D52" i="1"/>
  <c r="D25" i="1" s="1"/>
  <c r="T47" i="1"/>
  <c r="T20" i="1" s="1"/>
  <c r="P57" i="1"/>
  <c r="P30" i="1" s="1"/>
  <c r="P53" i="1"/>
  <c r="P26" i="1" s="1"/>
  <c r="P49" i="1"/>
  <c r="P22" i="1" s="1"/>
  <c r="L68" i="1"/>
  <c r="L21" i="1" s="1"/>
  <c r="L64" i="1"/>
  <c r="L40" i="1" s="1"/>
  <c r="L60" i="1"/>
  <c r="L36" i="1" s="1"/>
  <c r="L56" i="1"/>
  <c r="L32" i="1" s="1"/>
  <c r="L52" i="1"/>
  <c r="L28" i="1" s="1"/>
  <c r="L48" i="1"/>
  <c r="L24" i="1" s="1"/>
  <c r="I58" i="1"/>
  <c r="H58" i="1" s="1"/>
  <c r="H31" i="1" s="1"/>
  <c r="I54" i="1"/>
  <c r="H54" i="1" s="1"/>
  <c r="H27" i="1" s="1"/>
  <c r="I50" i="1"/>
  <c r="H50" i="1" s="1"/>
  <c r="H23" i="1" s="1"/>
  <c r="F34" i="3"/>
  <c r="F46" i="3" s="1"/>
  <c r="D54" i="1"/>
  <c r="D27" i="1" s="1"/>
  <c r="D51" i="1"/>
  <c r="D24" i="1" s="1"/>
  <c r="D53" i="1"/>
  <c r="T50" i="1"/>
  <c r="T23" i="1" s="1"/>
  <c r="P56" i="1"/>
  <c r="P29" i="1" s="1"/>
  <c r="P52" i="1"/>
  <c r="P25" i="1" s="1"/>
  <c r="P48" i="1"/>
  <c r="P21" i="1" s="1"/>
  <c r="L67" i="1"/>
  <c r="L63" i="1"/>
  <c r="L39" i="1" s="1"/>
  <c r="L59" i="1"/>
  <c r="L35" i="1" s="1"/>
  <c r="L55" i="1"/>
  <c r="L31" i="1" s="1"/>
  <c r="L51" i="1"/>
  <c r="L27" i="1" s="1"/>
  <c r="L47" i="1"/>
  <c r="L23" i="1" s="1"/>
  <c r="I57" i="1"/>
  <c r="H57" i="1" s="1"/>
  <c r="H30" i="1" s="1"/>
  <c r="I53" i="1"/>
  <c r="H53" i="1" s="1"/>
  <c r="H26" i="1" s="1"/>
  <c r="I49" i="1"/>
  <c r="H49" i="1" s="1"/>
  <c r="H22" i="1" s="1"/>
  <c r="R37" i="3"/>
  <c r="R49" i="3" s="1"/>
  <c r="R8" i="3"/>
  <c r="R20" i="3" s="1"/>
  <c r="R35" i="3"/>
  <c r="R47" i="3" s="1"/>
  <c r="AH14" i="3"/>
  <c r="AH26" i="3" s="1"/>
  <c r="AH35" i="3"/>
  <c r="AH47" i="3" s="1"/>
  <c r="AH38" i="3"/>
  <c r="AH50" i="3" s="1"/>
  <c r="AP4" i="3"/>
  <c r="AP7" i="3"/>
  <c r="AP19" i="3" s="1"/>
  <c r="AP35" i="3"/>
  <c r="AP47" i="3" s="1"/>
  <c r="AP6" i="3"/>
  <c r="AP18" i="3" s="1"/>
  <c r="AX8" i="3"/>
  <c r="AX20" i="3" s="1"/>
  <c r="AX35" i="3"/>
  <c r="AX47" i="3" s="1"/>
  <c r="AX7" i="3"/>
  <c r="AX19" i="3" s="1"/>
  <c r="BB7" i="3"/>
  <c r="BB19" i="3" s="1"/>
  <c r="BB34" i="3"/>
  <c r="BB46" i="3" s="1"/>
  <c r="BF14" i="3"/>
  <c r="BF26" i="3" s="1"/>
  <c r="BF36" i="3"/>
  <c r="BF48" i="3" s="1"/>
  <c r="BF31" i="3"/>
  <c r="BF37" i="3"/>
  <c r="BF49" i="3" s="1"/>
  <c r="BJ37" i="3"/>
  <c r="BJ49" i="3" s="1"/>
  <c r="BJ11" i="3"/>
  <c r="BJ23" i="3" s="1"/>
  <c r="BN4" i="3"/>
  <c r="BN16" i="3" s="1"/>
  <c r="BN14" i="3"/>
  <c r="BN26" i="3" s="1"/>
  <c r="BN35" i="3"/>
  <c r="BN47" i="3" s="1"/>
  <c r="BV8" i="3"/>
  <c r="BV20" i="3" s="1"/>
  <c r="BV7" i="3"/>
  <c r="BV19" i="3" s="1"/>
  <c r="BV36" i="3"/>
  <c r="BV48" i="3" s="1"/>
  <c r="CD38" i="3"/>
  <c r="CD50" i="3" s="1"/>
  <c r="CD8" i="3"/>
  <c r="CD20" i="3" s="1"/>
  <c r="CH35" i="3"/>
  <c r="CH47" i="3" s="1"/>
  <c r="CH36" i="3"/>
  <c r="CH48" i="3" s="1"/>
  <c r="CH37" i="3"/>
  <c r="CH49" i="3" s="1"/>
  <c r="CH38" i="3"/>
  <c r="CH50" i="3" s="1"/>
  <c r="CH32" i="3"/>
  <c r="CH34" i="3"/>
  <c r="CH46" i="3" s="1"/>
  <c r="CH4" i="3"/>
  <c r="CH31" i="3"/>
  <c r="AJ30" i="2"/>
  <c r="AI30" i="2"/>
  <c r="AJ48" i="2"/>
  <c r="AI48" i="2"/>
  <c r="I52" i="1"/>
  <c r="H52" i="1" s="1"/>
  <c r="H25" i="1" s="1"/>
  <c r="L54" i="1"/>
  <c r="L30" i="1" s="1"/>
  <c r="P47" i="1"/>
  <c r="P20" i="1" s="1"/>
  <c r="T49" i="1"/>
  <c r="T22" i="1" s="1"/>
  <c r="D49" i="1"/>
  <c r="D22" i="1" s="1"/>
  <c r="AI36" i="2"/>
  <c r="AJ19" i="2"/>
  <c r="AI23" i="2"/>
  <c r="AJ23" i="2"/>
  <c r="AJ24" i="2"/>
  <c r="AI24" i="2"/>
  <c r="AJ51" i="2"/>
  <c r="AJ9" i="2"/>
  <c r="AI9" i="2"/>
  <c r="AE30" i="3"/>
  <c r="AB30" i="3"/>
  <c r="R30" i="3"/>
  <c r="BO30" i="3"/>
  <c r="B42" i="3"/>
  <c r="I30" i="3"/>
  <c r="CB30" i="3"/>
  <c r="AY30" i="3"/>
  <c r="T30" i="3"/>
  <c r="AI30" i="3"/>
  <c r="CG30" i="3"/>
  <c r="AD30" i="3"/>
  <c r="CA30" i="3"/>
  <c r="D30" i="3"/>
  <c r="BK30" i="3"/>
  <c r="V30" i="3"/>
  <c r="AC30" i="3"/>
  <c r="BU30" i="3"/>
  <c r="BW30" i="3"/>
  <c r="AU30" i="3"/>
  <c r="BG30" i="3"/>
  <c r="BY30" i="3"/>
  <c r="BB30" i="3"/>
  <c r="AH30" i="3"/>
  <c r="BJ30" i="3"/>
  <c r="BJ42" i="3" s="1"/>
  <c r="G30" i="3"/>
  <c r="AT30" i="3"/>
  <c r="U30" i="3"/>
  <c r="Z30" i="3"/>
  <c r="AZ30" i="3"/>
  <c r="BL30" i="3"/>
  <c r="BP30" i="3"/>
  <c r="BR30" i="3"/>
  <c r="AF30" i="3"/>
  <c r="CD30" i="3"/>
  <c r="AM30" i="3"/>
  <c r="Y30" i="3"/>
  <c r="AO30" i="3"/>
  <c r="N30" i="3"/>
  <c r="J30" i="3"/>
  <c r="O30" i="3"/>
  <c r="E30" i="3"/>
  <c r="BI30" i="3"/>
  <c r="BQ30" i="3"/>
  <c r="BX30" i="3"/>
  <c r="CE30" i="3"/>
  <c r="S30" i="3"/>
  <c r="CF30" i="3"/>
  <c r="W30" i="3"/>
  <c r="AL30" i="3"/>
  <c r="AR30" i="3"/>
  <c r="BV30" i="3"/>
  <c r="X30" i="3"/>
  <c r="BE30" i="3"/>
  <c r="CH30" i="3"/>
  <c r="M30" i="3"/>
  <c r="BN30" i="3"/>
  <c r="P30" i="3"/>
  <c r="AS30" i="3"/>
  <c r="BC30" i="3"/>
  <c r="AP30" i="3"/>
  <c r="BM30" i="3"/>
  <c r="F30" i="3"/>
  <c r="BF30" i="3"/>
  <c r="AO50" i="3" l="1"/>
  <c r="L50" i="3"/>
  <c r="CC50" i="3"/>
  <c r="CK50" i="3"/>
  <c r="CL50" i="3"/>
  <c r="E50" i="3"/>
  <c r="BT50" i="3"/>
  <c r="AN50" i="3"/>
  <c r="X50" i="3"/>
  <c r="AR50" i="3"/>
  <c r="AZ50" i="3"/>
  <c r="CI50" i="3"/>
  <c r="BU50" i="3"/>
  <c r="BR50" i="3"/>
  <c r="AT50" i="3"/>
  <c r="T50" i="3"/>
  <c r="Z50" i="3"/>
  <c r="BD50" i="3"/>
  <c r="H50" i="3"/>
  <c r="CM50" i="3"/>
  <c r="BV50" i="3"/>
  <c r="F50" i="3"/>
  <c r="CB50" i="3"/>
  <c r="AV50" i="3"/>
  <c r="AB50" i="3"/>
  <c r="P50" i="3"/>
  <c r="BP50" i="3"/>
  <c r="BH50" i="3"/>
  <c r="AJ50" i="3"/>
  <c r="AF50" i="3"/>
  <c r="BL50" i="3"/>
  <c r="CJ50" i="3"/>
  <c r="X18" i="3"/>
  <c r="BG18" i="3"/>
  <c r="CI18" i="3"/>
  <c r="AA18" i="3"/>
  <c r="BO18" i="3"/>
  <c r="AQ18" i="3"/>
  <c r="AM18" i="3"/>
  <c r="BI18" i="3"/>
  <c r="Q18" i="3"/>
  <c r="Q28" i="3" s="1"/>
  <c r="M18" i="3"/>
  <c r="AS18" i="3"/>
  <c r="AW18" i="3"/>
  <c r="BE18" i="3"/>
  <c r="R18" i="3"/>
  <c r="F18" i="3"/>
  <c r="AD18" i="3"/>
  <c r="BP18" i="3"/>
  <c r="BP28" i="3" s="1"/>
  <c r="BS18" i="3"/>
  <c r="AV18" i="3"/>
  <c r="CM18" i="3"/>
  <c r="AJ18" i="3"/>
  <c r="BC18" i="3"/>
  <c r="AE18" i="3"/>
  <c r="S18" i="3"/>
  <c r="K18" i="3"/>
  <c r="G18" i="3"/>
  <c r="CC18" i="3"/>
  <c r="CC28" i="3" s="1"/>
  <c r="BU18" i="3"/>
  <c r="BU28" i="3" s="1"/>
  <c r="AC18" i="3"/>
  <c r="BM18" i="3"/>
  <c r="AG18" i="3"/>
  <c r="E18" i="3"/>
  <c r="BV18" i="3"/>
  <c r="AH18" i="3"/>
  <c r="BT18" i="3"/>
  <c r="AR18" i="3"/>
  <c r="BQ18" i="3"/>
  <c r="BQ28" i="3" s="1"/>
  <c r="AB18" i="3"/>
  <c r="L18" i="3"/>
  <c r="P18" i="3"/>
  <c r="AF18" i="3"/>
  <c r="BB18" i="3"/>
  <c r="BZ18" i="3"/>
  <c r="N18" i="3"/>
  <c r="CK18" i="3"/>
  <c r="CL18" i="3"/>
  <c r="BX18" i="3"/>
  <c r="AT18" i="3"/>
  <c r="AT28" i="3" s="1"/>
  <c r="AU18" i="3"/>
  <c r="W18" i="3"/>
  <c r="W28" i="3" s="1"/>
  <c r="CG18" i="3"/>
  <c r="BR18" i="3"/>
  <c r="J18" i="3"/>
  <c r="CF18" i="3"/>
  <c r="Y18" i="3"/>
  <c r="BH18" i="3"/>
  <c r="Z18" i="3"/>
  <c r="CD18" i="3"/>
  <c r="CD28" i="3" s="1"/>
  <c r="AX18" i="3"/>
  <c r="AN18" i="3"/>
  <c r="V18" i="3"/>
  <c r="BD18" i="3"/>
  <c r="CH18" i="3"/>
  <c r="CJ18" i="3"/>
  <c r="BX17" i="3"/>
  <c r="BN17" i="3"/>
  <c r="BN28" i="3" s="1"/>
  <c r="AN17" i="3"/>
  <c r="AR17" i="3"/>
  <c r="AJ17" i="3"/>
  <c r="BB17" i="3"/>
  <c r="CI17" i="3"/>
  <c r="CH17" i="3"/>
  <c r="O17" i="3"/>
  <c r="BV17" i="3"/>
  <c r="H17" i="3"/>
  <c r="CM17" i="3"/>
  <c r="CL17" i="3"/>
  <c r="BT17" i="3"/>
  <c r="Z17" i="3"/>
  <c r="AF17" i="3"/>
  <c r="X17" i="3"/>
  <c r="CB17" i="3"/>
  <c r="CB28" i="3" s="1"/>
  <c r="L17" i="3"/>
  <c r="AZ17" i="3"/>
  <c r="AI17" i="3"/>
  <c r="CK17" i="3"/>
  <c r="AH17" i="3"/>
  <c r="BS16" i="3"/>
  <c r="AU16" i="3"/>
  <c r="AA16" i="3"/>
  <c r="AS16" i="3"/>
  <c r="AC16" i="3"/>
  <c r="BA16" i="3"/>
  <c r="BA28" i="3" s="1"/>
  <c r="N16" i="3"/>
  <c r="CF16" i="3"/>
  <c r="AV16" i="3"/>
  <c r="P16" i="3"/>
  <c r="X16" i="3"/>
  <c r="AX16" i="3"/>
  <c r="BD16" i="3"/>
  <c r="AN16" i="3"/>
  <c r="BH16" i="3"/>
  <c r="CK16" i="3"/>
  <c r="AQ16" i="3"/>
  <c r="M16" i="3"/>
  <c r="BE16" i="3"/>
  <c r="Y16" i="3"/>
  <c r="BB16" i="3"/>
  <c r="AH16" i="3"/>
  <c r="BR16" i="3"/>
  <c r="BX16" i="3"/>
  <c r="T16" i="3"/>
  <c r="T28" i="3" s="1"/>
  <c r="J16" i="3"/>
  <c r="AZ16" i="3"/>
  <c r="CL16" i="3"/>
  <c r="BO16" i="3"/>
  <c r="O16" i="3"/>
  <c r="G16" i="3"/>
  <c r="CG16" i="3"/>
  <c r="AW16" i="3"/>
  <c r="AW28" i="3" s="1"/>
  <c r="I16" i="3"/>
  <c r="I28" i="3" s="1"/>
  <c r="BI16" i="3"/>
  <c r="CI16" i="3"/>
  <c r="AP16" i="3"/>
  <c r="AP28" i="3" s="1"/>
  <c r="CA16" i="3"/>
  <c r="CA28" i="3" s="1"/>
  <c r="AY16" i="3"/>
  <c r="AY28" i="3" s="1"/>
  <c r="BW16" i="3"/>
  <c r="BW28" i="3" s="1"/>
  <c r="AI16" i="3"/>
  <c r="AK16" i="3"/>
  <c r="AK28" i="3" s="1"/>
  <c r="E16" i="3"/>
  <c r="AG16" i="3"/>
  <c r="F16" i="3"/>
  <c r="AR16" i="3"/>
  <c r="BF16" i="3"/>
  <c r="BF28" i="3" s="1"/>
  <c r="AB16" i="3"/>
  <c r="BT16" i="3"/>
  <c r="CM16" i="3"/>
  <c r="AD16" i="3"/>
  <c r="CJ16" i="3"/>
  <c r="AF16" i="3"/>
  <c r="AE16" i="3"/>
  <c r="S16" i="3"/>
  <c r="BM16" i="3"/>
  <c r="Z16" i="3"/>
  <c r="BV16" i="3"/>
  <c r="H16" i="3"/>
  <c r="AJ16" i="3"/>
  <c r="V16" i="3"/>
  <c r="CH16" i="3"/>
  <c r="BG16" i="3"/>
  <c r="BC16" i="3"/>
  <c r="AM16" i="3"/>
  <c r="K16" i="3"/>
  <c r="BZ16" i="3"/>
  <c r="R16" i="3"/>
  <c r="BL16" i="3"/>
  <c r="BL28" i="3" s="1"/>
  <c r="BI57" i="3"/>
  <c r="BI56" i="3"/>
  <c r="AQ42" i="3"/>
  <c r="CJ43" i="3"/>
  <c r="CJ42" i="3"/>
  <c r="CI44" i="3"/>
  <c r="CI42" i="3"/>
  <c r="CL42" i="3"/>
  <c r="CM44" i="3"/>
  <c r="CM43" i="3"/>
  <c r="CK42" i="3"/>
  <c r="CK44" i="3"/>
  <c r="CL43" i="3"/>
  <c r="CK43" i="3"/>
  <c r="CM42" i="3"/>
  <c r="CL44" i="3"/>
  <c r="CJ44" i="3"/>
  <c r="CI43" i="3"/>
  <c r="AK43" i="3"/>
  <c r="BX43" i="3"/>
  <c r="BI42" i="3"/>
  <c r="BX44" i="3"/>
  <c r="AK44" i="3"/>
  <c r="T44" i="3"/>
  <c r="T43" i="3"/>
  <c r="BX42" i="3"/>
  <c r="BI43" i="3"/>
  <c r="T42" i="3"/>
  <c r="AK42" i="3"/>
  <c r="AQ43" i="3"/>
  <c r="BG43" i="3"/>
  <c r="BW43" i="3"/>
  <c r="AM43" i="3"/>
  <c r="AX43" i="3"/>
  <c r="AH43" i="3"/>
  <c r="Z43" i="3"/>
  <c r="AW43" i="3"/>
  <c r="BA43" i="3"/>
  <c r="BM43" i="3"/>
  <c r="I43" i="3"/>
  <c r="AJ44" i="3"/>
  <c r="CH44" i="3"/>
  <c r="O44" i="3"/>
  <c r="BO44" i="3"/>
  <c r="BG44" i="3"/>
  <c r="S44" i="3"/>
  <c r="G44" i="3"/>
  <c r="BF44" i="3"/>
  <c r="AU44" i="3"/>
  <c r="AS44" i="3"/>
  <c r="BY44" i="3"/>
  <c r="BM44" i="3"/>
  <c r="BE44" i="3"/>
  <c r="BA44" i="3"/>
  <c r="Q44" i="3"/>
  <c r="CC44" i="3"/>
  <c r="CE44" i="3"/>
  <c r="CA44" i="3"/>
  <c r="W44" i="3"/>
  <c r="R44" i="3"/>
  <c r="Y44" i="3"/>
  <c r="AC44" i="3"/>
  <c r="CG44" i="3"/>
  <c r="BQ44" i="3"/>
  <c r="AW44" i="3"/>
  <c r="AO44" i="3"/>
  <c r="E44" i="3"/>
  <c r="I44" i="3"/>
  <c r="CF44" i="3"/>
  <c r="BH44" i="3"/>
  <c r="BL44" i="3"/>
  <c r="P44" i="3"/>
  <c r="CD44" i="3"/>
  <c r="BW44" i="3"/>
  <c r="BS44" i="3"/>
  <c r="AY44" i="3"/>
  <c r="AI44" i="3"/>
  <c r="AA44" i="3"/>
  <c r="K44" i="3"/>
  <c r="BZ44" i="3"/>
  <c r="BR44" i="3"/>
  <c r="AX44" i="3"/>
  <c r="J44" i="3"/>
  <c r="F44" i="3"/>
  <c r="U44" i="3"/>
  <c r="CB44" i="3"/>
  <c r="AZ44" i="3"/>
  <c r="AV44" i="3"/>
  <c r="AB44" i="3"/>
  <c r="AQ44" i="3"/>
  <c r="BK44" i="3"/>
  <c r="BC44" i="3"/>
  <c r="AM44" i="3"/>
  <c r="AE44" i="3"/>
  <c r="BV44" i="3"/>
  <c r="BN44" i="3"/>
  <c r="AT44" i="3"/>
  <c r="AP44" i="3"/>
  <c r="N44" i="3"/>
  <c r="BU44" i="3"/>
  <c r="AG44" i="3"/>
  <c r="BB44" i="3"/>
  <c r="AL44" i="3"/>
  <c r="AR44" i="3"/>
  <c r="H44" i="3"/>
  <c r="Z44" i="3"/>
  <c r="AN44" i="3"/>
  <c r="AF44" i="3"/>
  <c r="BP44" i="3"/>
  <c r="M44" i="3"/>
  <c r="AH44" i="3"/>
  <c r="AD44" i="3"/>
  <c r="BD44" i="3"/>
  <c r="BT44" i="3"/>
  <c r="X44" i="3"/>
  <c r="BF43" i="3"/>
  <c r="AE43" i="3"/>
  <c r="CA43" i="3"/>
  <c r="AY43" i="3"/>
  <c r="BC43" i="3"/>
  <c r="BB43" i="3"/>
  <c r="AD43" i="3"/>
  <c r="BT43" i="3"/>
  <c r="AN43" i="3"/>
  <c r="X43" i="3"/>
  <c r="CH43" i="3"/>
  <c r="S43" i="3"/>
  <c r="CE43" i="3"/>
  <c r="AU43" i="3"/>
  <c r="BS43" i="3"/>
  <c r="O43" i="3"/>
  <c r="AO43" i="3"/>
  <c r="BO43" i="3"/>
  <c r="BK43" i="3"/>
  <c r="AA43" i="3"/>
  <c r="W43" i="3"/>
  <c r="K43" i="3"/>
  <c r="G43" i="3"/>
  <c r="BV43" i="3"/>
  <c r="V43" i="3"/>
  <c r="AI43" i="3"/>
  <c r="Q43" i="3"/>
  <c r="CC43" i="3"/>
  <c r="AT43" i="3"/>
  <c r="AG43" i="3"/>
  <c r="AS43" i="3"/>
  <c r="P43" i="3"/>
  <c r="H43" i="3"/>
  <c r="F43" i="3"/>
  <c r="J43" i="3"/>
  <c r="CD43" i="3"/>
  <c r="BE43" i="3"/>
  <c r="AP43" i="3"/>
  <c r="AV43" i="3"/>
  <c r="CG43" i="3"/>
  <c r="BY43" i="3"/>
  <c r="U43" i="3"/>
  <c r="M43" i="3"/>
  <c r="BU43" i="3"/>
  <c r="R43" i="3"/>
  <c r="AL43" i="3"/>
  <c r="BZ43" i="3"/>
  <c r="CF43" i="3"/>
  <c r="BH43" i="3"/>
  <c r="BD43" i="3"/>
  <c r="BR43" i="3"/>
  <c r="AB43" i="3"/>
  <c r="BQ43" i="3"/>
  <c r="AC43" i="3"/>
  <c r="Y43" i="3"/>
  <c r="E43" i="3"/>
  <c r="BN43" i="3"/>
  <c r="N43" i="3"/>
  <c r="BP43" i="3"/>
  <c r="BL43" i="3"/>
  <c r="AZ43" i="3"/>
  <c r="AR43" i="3"/>
  <c r="AJ43" i="3"/>
  <c r="AF43" i="3"/>
  <c r="L43" i="3"/>
  <c r="CB43" i="3"/>
  <c r="CC42" i="3"/>
  <c r="BY28" i="3"/>
  <c r="U28" i="3"/>
  <c r="BJ28" i="3"/>
  <c r="AO28" i="3"/>
  <c r="AL28" i="3"/>
  <c r="BK28" i="3"/>
  <c r="CE28" i="3"/>
  <c r="N42" i="3"/>
  <c r="CD42" i="3"/>
  <c r="BL42" i="3"/>
  <c r="AT42" i="3"/>
  <c r="AP42" i="3"/>
  <c r="BN42" i="3"/>
  <c r="X42" i="3"/>
  <c r="BF42" i="3"/>
  <c r="BC42" i="3"/>
  <c r="M42" i="3"/>
  <c r="BV42" i="3"/>
  <c r="CF42" i="3"/>
  <c r="BG42" i="3"/>
  <c r="AC42" i="3"/>
  <c r="AB42" i="3"/>
  <c r="BH42" i="3"/>
  <c r="H42" i="3"/>
  <c r="F42" i="3"/>
  <c r="AS42" i="3"/>
  <c r="CH42" i="3"/>
  <c r="AR42" i="3"/>
  <c r="S42" i="3"/>
  <c r="E42" i="3"/>
  <c r="AO42" i="3"/>
  <c r="AF42" i="3"/>
  <c r="AZ42" i="3"/>
  <c r="AG42" i="3"/>
  <c r="AH42" i="3"/>
  <c r="AU42" i="3"/>
  <c r="AX42" i="3"/>
  <c r="AV42" i="3"/>
  <c r="CA42" i="3"/>
  <c r="AE42" i="3"/>
  <c r="AA42" i="3"/>
  <c r="AW42" i="3"/>
  <c r="BD42" i="3"/>
  <c r="AI42" i="3"/>
  <c r="I42" i="3"/>
  <c r="BM42" i="3"/>
  <c r="P42" i="3"/>
  <c r="BE42" i="3"/>
  <c r="AL42" i="3"/>
  <c r="CE42" i="3"/>
  <c r="O42" i="3"/>
  <c r="Y42" i="3"/>
  <c r="BR42" i="3"/>
  <c r="Z42" i="3"/>
  <c r="AJ42" i="3"/>
  <c r="BB42" i="3"/>
  <c r="BW42" i="3"/>
  <c r="L42" i="3"/>
  <c r="V42" i="3"/>
  <c r="AD42" i="3"/>
  <c r="AY42" i="3"/>
  <c r="BO42" i="3"/>
  <c r="BA42" i="3"/>
  <c r="BT42" i="3"/>
  <c r="BS42" i="3"/>
  <c r="W42" i="3"/>
  <c r="BQ42" i="3"/>
  <c r="J42" i="3"/>
  <c r="AM42" i="3"/>
  <c r="BP42" i="3"/>
  <c r="U42" i="3"/>
  <c r="G42" i="3"/>
  <c r="BY42" i="3"/>
  <c r="BU42" i="3"/>
  <c r="AN42" i="3"/>
  <c r="BK42" i="3"/>
  <c r="CG42" i="3"/>
  <c r="CB42" i="3"/>
  <c r="R42" i="3"/>
  <c r="BZ42" i="3"/>
  <c r="Q42" i="3"/>
  <c r="K42" i="3"/>
  <c r="K28" i="3" l="1"/>
  <c r="O28" i="3"/>
  <c r="AJ28" i="3"/>
  <c r="BX28" i="3"/>
  <c r="CL28" i="3"/>
  <c r="BG28" i="3"/>
  <c r="X28" i="3"/>
  <c r="AS28" i="3"/>
  <c r="R28" i="3"/>
  <c r="AU28" i="3"/>
  <c r="G28" i="3"/>
  <c r="BS28" i="3"/>
  <c r="AQ28" i="3"/>
  <c r="BC28" i="3"/>
  <c r="BM28" i="3"/>
  <c r="AB28" i="3"/>
  <c r="CG28" i="3"/>
  <c r="CF28" i="3"/>
  <c r="BV28" i="3"/>
  <c r="J28" i="3"/>
  <c r="BB28" i="3"/>
  <c r="BD28" i="3"/>
  <c r="AG28" i="3"/>
  <c r="L28" i="3"/>
  <c r="Y28" i="3"/>
  <c r="AX28" i="3"/>
  <c r="AM28" i="3"/>
  <c r="V28" i="3"/>
  <c r="Z28" i="3"/>
  <c r="AF28" i="3"/>
  <c r="BT28" i="3"/>
  <c r="F28" i="3"/>
  <c r="AI28" i="3"/>
  <c r="BO28" i="3"/>
  <c r="AC28" i="3"/>
  <c r="BE28" i="3"/>
  <c r="M28" i="3"/>
  <c r="CK28" i="3"/>
  <c r="P28" i="3"/>
  <c r="H28" i="3"/>
  <c r="CI28" i="3"/>
  <c r="AE28" i="3"/>
  <c r="AV28" i="3"/>
  <c r="CJ28" i="3"/>
  <c r="BZ28" i="3"/>
  <c r="S28" i="3"/>
  <c r="AD28" i="3"/>
  <c r="E28" i="3"/>
  <c r="BI28" i="3"/>
  <c r="BR28" i="3"/>
  <c r="BH28" i="3"/>
  <c r="N28" i="3"/>
  <c r="AA28" i="3"/>
  <c r="AN28" i="3"/>
  <c r="AH28" i="3"/>
  <c r="AZ28" i="3"/>
  <c r="CH28" i="3"/>
  <c r="CM28" i="3"/>
  <c r="AR28" i="3"/>
  <c r="D16" i="1"/>
  <c r="AR51" i="3" l="1"/>
  <c r="AR52" i="3" s="1"/>
  <c r="AP51" i="3"/>
  <c r="AP52" i="3" s="1"/>
  <c r="AQ51" i="3"/>
  <c r="AQ52" i="3" s="1"/>
  <c r="AO51" i="3"/>
  <c r="AO52" i="3" s="1"/>
  <c r="BA51" i="3"/>
  <c r="BA52" i="3" s="1"/>
  <c r="AZ51" i="3"/>
  <c r="AZ52" i="3" s="1"/>
  <c r="BB51" i="3"/>
  <c r="BB52" i="3" s="1"/>
  <c r="BC51" i="3"/>
  <c r="BC52" i="3" s="1"/>
  <c r="BE51" i="3"/>
  <c r="BE52" i="3" s="1"/>
  <c r="AS51" i="3"/>
  <c r="AS52" i="3" s="1"/>
  <c r="AY51" i="3"/>
  <c r="AY52" i="3" s="1"/>
  <c r="BH51" i="3"/>
  <c r="BH52" i="3" s="1"/>
  <c r="AT51" i="3"/>
  <c r="AT52" i="3" s="1"/>
  <c r="AX51" i="3"/>
  <c r="AX52" i="3" s="1"/>
  <c r="CK51" i="3"/>
  <c r="BF51" i="3"/>
  <c r="BF52" i="3" s="1"/>
  <c r="AW51" i="3"/>
  <c r="AW52" i="3" s="1"/>
  <c r="CM51" i="3"/>
  <c r="CM52" i="3" s="1"/>
  <c r="AN51" i="3"/>
  <c r="AN52" i="3" s="1"/>
  <c r="BG51" i="3"/>
  <c r="BG52" i="3" s="1"/>
  <c r="AU51" i="3"/>
  <c r="AU52" i="3" s="1"/>
  <c r="BI51" i="3"/>
  <c r="BI52" i="3" s="1"/>
  <c r="AV51" i="3"/>
  <c r="AV52" i="3" s="1"/>
  <c r="AM51" i="3"/>
  <c r="AM52" i="3" s="1"/>
  <c r="BD51" i="3"/>
  <c r="BD52" i="3" s="1"/>
  <c r="BR51" i="3"/>
  <c r="BR52" i="3" s="1"/>
  <c r="BZ51" i="3"/>
  <c r="BZ52" i="3" s="1"/>
  <c r="CI51" i="3"/>
  <c r="CI52" i="3" s="1"/>
  <c r="H51" i="3"/>
  <c r="H52" i="3" s="1"/>
  <c r="CA51" i="3"/>
  <c r="CA52" i="3" s="1"/>
  <c r="BU51" i="3"/>
  <c r="BU52" i="3" s="1"/>
  <c r="AC51" i="3"/>
  <c r="AC52" i="3" s="1"/>
  <c r="P51" i="3"/>
  <c r="P52" i="3" s="1"/>
  <c r="BJ51" i="3"/>
  <c r="BJ52" i="3" s="1"/>
  <c r="G51" i="3"/>
  <c r="G52" i="3" s="1"/>
  <c r="X51" i="3"/>
  <c r="X52" i="3" s="1"/>
  <c r="Z51" i="3"/>
  <c r="Z52" i="3" s="1"/>
  <c r="V51" i="3"/>
  <c r="V52" i="3" s="1"/>
  <c r="BW51" i="3"/>
  <c r="BW52" i="3" s="1"/>
  <c r="CE51" i="3"/>
  <c r="CE52" i="3" s="1"/>
  <c r="BQ51" i="3"/>
  <c r="BQ52" i="3" s="1"/>
  <c r="CH51" i="3"/>
  <c r="CH52" i="3" s="1"/>
  <c r="S51" i="3"/>
  <c r="S52" i="3" s="1"/>
  <c r="BP51" i="3"/>
  <c r="BP52" i="3" s="1"/>
  <c r="BM51" i="3"/>
  <c r="BM52" i="3" s="1"/>
  <c r="AB51" i="3"/>
  <c r="AB52" i="3" s="1"/>
  <c r="K51" i="3"/>
  <c r="K52" i="3" s="1"/>
  <c r="CG51" i="3"/>
  <c r="CG52" i="3" s="1"/>
  <c r="BY51" i="3"/>
  <c r="BY52" i="3" s="1"/>
  <c r="T51" i="3"/>
  <c r="T52" i="3" s="1"/>
  <c r="M51" i="3"/>
  <c r="M52" i="3" s="1"/>
  <c r="BL51" i="3"/>
  <c r="BL52" i="3" s="1"/>
  <c r="BS51" i="3"/>
  <c r="BS52" i="3" s="1"/>
  <c r="BV51" i="3"/>
  <c r="BV52" i="3" s="1"/>
  <c r="AF51" i="3"/>
  <c r="AF52" i="3" s="1"/>
  <c r="AA51" i="3"/>
  <c r="AA52" i="3" s="1"/>
  <c r="AH51" i="3"/>
  <c r="AH52" i="3" s="1"/>
  <c r="F51" i="3"/>
  <c r="F52" i="3" s="1"/>
  <c r="J51" i="3"/>
  <c r="J52" i="3" s="1"/>
  <c r="BX51" i="3"/>
  <c r="BX52" i="3" s="1"/>
  <c r="CJ51" i="3"/>
  <c r="CJ52" i="3" s="1"/>
  <c r="I51" i="3"/>
  <c r="I52" i="3" s="1"/>
  <c r="L51" i="3"/>
  <c r="L52" i="3" s="1"/>
  <c r="BN51" i="3"/>
  <c r="BN52" i="3" s="1"/>
  <c r="CD51" i="3"/>
  <c r="CD52" i="3" s="1"/>
  <c r="CL51" i="3"/>
  <c r="CL52" i="3" s="1"/>
  <c r="BO51" i="3"/>
  <c r="BO52" i="3" s="1"/>
  <c r="CB51" i="3"/>
  <c r="CB52" i="3" s="1"/>
  <c r="AJ51" i="3"/>
  <c r="AJ52" i="3" s="1"/>
  <c r="CC51" i="3"/>
  <c r="CC52" i="3" s="1"/>
  <c r="AD51" i="3"/>
  <c r="AD52" i="3" s="1"/>
  <c r="R51" i="3"/>
  <c r="R52" i="3" s="1"/>
  <c r="AL51" i="3"/>
  <c r="AL52" i="3" s="1"/>
  <c r="AK51" i="3"/>
  <c r="O51" i="3"/>
  <c r="O52" i="3" s="1"/>
  <c r="AE51" i="3"/>
  <c r="AE52" i="3" s="1"/>
  <c r="CF51" i="3"/>
  <c r="CF52" i="3" s="1"/>
  <c r="BK51" i="3"/>
  <c r="BK52" i="3" s="1"/>
  <c r="Y51" i="3"/>
  <c r="Y52" i="3" s="1"/>
  <c r="BT51" i="3"/>
  <c r="BT52" i="3" s="1"/>
  <c r="U51" i="3"/>
  <c r="U52" i="3" s="1"/>
  <c r="AI51" i="3"/>
  <c r="AI52" i="3" s="1"/>
  <c r="AG51" i="3"/>
  <c r="AG52" i="3" s="1"/>
  <c r="N51" i="3"/>
  <c r="N52" i="3" s="1"/>
  <c r="W51" i="3"/>
  <c r="W52" i="3" s="1"/>
  <c r="Q51" i="3"/>
  <c r="Q52" i="3" s="1"/>
  <c r="AK52" i="3" l="1"/>
  <c r="E51" i="3"/>
  <c r="E52" i="3" s="1"/>
  <c r="H14" i="1" s="1"/>
  <c r="H15" i="1" s="1"/>
  <c r="E53" i="3" l="1"/>
  <c r="E55" i="3" s="1"/>
  <c r="C20" i="1" s="1"/>
  <c r="CK52" i="3"/>
  <c r="H16" i="1" s="1"/>
  <c r="D2" i="4"/>
  <c r="AM53" i="3" l="1"/>
  <c r="AM55" i="3" s="1"/>
  <c r="K23" i="1" s="1"/>
  <c r="AU53" i="3"/>
  <c r="AU55" i="3" s="1"/>
  <c r="K31" i="1" s="1"/>
  <c r="I53" i="3"/>
  <c r="I55" i="3" s="1"/>
  <c r="G51" i="1" s="1"/>
  <c r="G24" i="1" s="1"/>
  <c r="CI53" i="3"/>
  <c r="CI55" i="3" s="1"/>
  <c r="M53" i="3"/>
  <c r="M55" i="3" s="1"/>
  <c r="G55" i="1" s="1"/>
  <c r="G28" i="1" s="1"/>
  <c r="BC53" i="3"/>
  <c r="BC55" i="3" s="1"/>
  <c r="K39" i="1" s="1"/>
  <c r="AN53" i="3"/>
  <c r="AN55" i="3" s="1"/>
  <c r="K24" i="1" s="1"/>
  <c r="BY53" i="3"/>
  <c r="BY55" i="3" s="1"/>
  <c r="AZ53" i="3"/>
  <c r="AZ55" i="3" s="1"/>
  <c r="K36" i="1" s="1"/>
  <c r="BA53" i="3"/>
  <c r="BA55" i="3" s="1"/>
  <c r="K37" i="1" s="1"/>
  <c r="BR53" i="3"/>
  <c r="BR55" i="3" s="1"/>
  <c r="O26" i="1" s="1"/>
  <c r="P53" i="3"/>
  <c r="P55" i="3" s="1"/>
  <c r="G58" i="1" s="1"/>
  <c r="G31" i="1" s="1"/>
  <c r="AC53" i="3"/>
  <c r="AC55" i="3" s="1"/>
  <c r="C22" i="1" s="1"/>
  <c r="CA53" i="3"/>
  <c r="CA55" i="3" s="1"/>
  <c r="S22" i="1" s="1"/>
  <c r="AT53" i="3"/>
  <c r="AT55" i="3" s="1"/>
  <c r="K30" i="1" s="1"/>
  <c r="BQ53" i="3"/>
  <c r="BQ55" i="3" s="1"/>
  <c r="O25" i="1" s="1"/>
  <c r="F53" i="3"/>
  <c r="F55" i="3" s="1"/>
  <c r="G47" i="1" s="1"/>
  <c r="G21" i="1" s="1"/>
  <c r="AW53" i="3"/>
  <c r="AW55" i="3" s="1"/>
  <c r="K33" i="1" s="1"/>
  <c r="AV53" i="3"/>
  <c r="AV55" i="3" s="1"/>
  <c r="K32" i="1" s="1"/>
  <c r="AR53" i="3"/>
  <c r="AR55" i="3" s="1"/>
  <c r="K28" i="1" s="1"/>
  <c r="AP53" i="3"/>
  <c r="AP55" i="3" s="1"/>
  <c r="K26" i="1" s="1"/>
  <c r="BI53" i="3"/>
  <c r="CL53" i="3"/>
  <c r="CL55" i="3" s="1"/>
  <c r="Q53" i="3"/>
  <c r="Q55" i="3" s="1"/>
  <c r="G59" i="1" s="1"/>
  <c r="G32" i="1" s="1"/>
  <c r="AF53" i="3"/>
  <c r="AF55" i="3" s="1"/>
  <c r="C27" i="1" s="1"/>
  <c r="BN53" i="3"/>
  <c r="BN55" i="3" s="1"/>
  <c r="O22" i="1" s="1"/>
  <c r="T53" i="3"/>
  <c r="T55" i="3" s="1"/>
  <c r="S20" i="1" s="1"/>
  <c r="AG53" i="3"/>
  <c r="AG55" i="3" s="1"/>
  <c r="C28" i="1" s="1"/>
  <c r="X53" i="3"/>
  <c r="X55" i="3" s="1"/>
  <c r="CM53" i="3"/>
  <c r="CM55" i="3" s="1"/>
  <c r="AO53" i="3"/>
  <c r="AO55" i="3" s="1"/>
  <c r="K25" i="1" s="1"/>
  <c r="U53" i="3"/>
  <c r="U55" i="3" s="1"/>
  <c r="BM53" i="3"/>
  <c r="BM55" i="3" s="1"/>
  <c r="O21" i="1" s="1"/>
  <c r="BB53" i="3"/>
  <c r="BB55" i="3" s="1"/>
  <c r="K38" i="1" s="1"/>
  <c r="CD53" i="3"/>
  <c r="CD55" i="3" s="1"/>
  <c r="S25" i="1" s="1"/>
  <c r="AL53" i="3"/>
  <c r="AL55" i="3" s="1"/>
  <c r="BZ53" i="3"/>
  <c r="BZ55" i="3" s="1"/>
  <c r="S21" i="1" s="1"/>
  <c r="BL53" i="3"/>
  <c r="BL55" i="3" s="1"/>
  <c r="O20" i="1" s="1"/>
  <c r="BW53" i="3"/>
  <c r="BW55" i="3" s="1"/>
  <c r="O31" i="1" s="1"/>
  <c r="CG53" i="3"/>
  <c r="CG55" i="3" s="1"/>
  <c r="CH53" i="3"/>
  <c r="CH55" i="3" s="1"/>
  <c r="AE53" i="3"/>
  <c r="AE55" i="3" s="1"/>
  <c r="C23" i="1" s="1"/>
  <c r="K53" i="3"/>
  <c r="K55" i="3" s="1"/>
  <c r="G53" i="1" s="1"/>
  <c r="G26" i="1" s="1"/>
  <c r="BV53" i="3"/>
  <c r="BV55" i="3" s="1"/>
  <c r="O30" i="1" s="1"/>
  <c r="S53" i="3"/>
  <c r="S55" i="3" s="1"/>
  <c r="G60" i="1" s="1"/>
  <c r="G33" i="1" s="1"/>
  <c r="BK53" i="3"/>
  <c r="BK55" i="3" s="1"/>
  <c r="BX53" i="3"/>
  <c r="BX55" i="3" s="1"/>
  <c r="O32" i="1" s="1"/>
  <c r="BO53" i="3"/>
  <c r="BO55" i="3" s="1"/>
  <c r="O23" i="1" s="1"/>
  <c r="BJ53" i="3"/>
  <c r="BJ55" i="3" s="1"/>
  <c r="CE53" i="3"/>
  <c r="CE55" i="3" s="1"/>
  <c r="BU53" i="3"/>
  <c r="BU55" i="3" s="1"/>
  <c r="O29" i="1" s="1"/>
  <c r="AK53" i="3"/>
  <c r="AH53" i="3"/>
  <c r="AH55" i="3" s="1"/>
  <c r="C29" i="1" s="1"/>
  <c r="CF53" i="3"/>
  <c r="CF55" i="3" s="1"/>
  <c r="W53" i="3"/>
  <c r="W55" i="3" s="1"/>
  <c r="C30" i="1" s="1"/>
  <c r="CB53" i="3"/>
  <c r="CB55" i="3" s="1"/>
  <c r="S23" i="1" s="1"/>
  <c r="J53" i="3"/>
  <c r="J55" i="3" s="1"/>
  <c r="G52" i="1" s="1"/>
  <c r="G25" i="1" s="1"/>
  <c r="BE53" i="3"/>
  <c r="BE55" i="3" s="1"/>
  <c r="K41" i="1" s="1"/>
  <c r="AS53" i="3"/>
  <c r="AS55" i="3" s="1"/>
  <c r="K29" i="1" s="1"/>
  <c r="AA53" i="3"/>
  <c r="AA55" i="3" s="1"/>
  <c r="AQ53" i="3"/>
  <c r="AQ55" i="3" s="1"/>
  <c r="K27" i="1" s="1"/>
  <c r="CJ53" i="3"/>
  <c r="CJ55" i="3" s="1"/>
  <c r="R53" i="3"/>
  <c r="R55" i="3" s="1"/>
  <c r="G53" i="3"/>
  <c r="G55" i="3" s="1"/>
  <c r="G49" i="1" s="1"/>
  <c r="G22" i="1" s="1"/>
  <c r="BG53" i="3"/>
  <c r="O53" i="3"/>
  <c r="O55" i="3" s="1"/>
  <c r="G57" i="1" s="1"/>
  <c r="G30" i="1" s="1"/>
  <c r="H53" i="3"/>
  <c r="H55" i="3" s="1"/>
  <c r="G50" i="1" s="1"/>
  <c r="G23" i="1" s="1"/>
  <c r="AD53" i="3"/>
  <c r="AD55" i="3" s="1"/>
  <c r="L53" i="3"/>
  <c r="L55" i="3" s="1"/>
  <c r="G54" i="1" s="1"/>
  <c r="G27" i="1" s="1"/>
  <c r="Z53" i="3"/>
  <c r="Z55" i="3" s="1"/>
  <c r="BH53" i="3"/>
  <c r="BH55" i="3" s="1"/>
  <c r="K21" i="1" s="1"/>
  <c r="BD53" i="3"/>
  <c r="BD55" i="3" s="1"/>
  <c r="K40" i="1" s="1"/>
  <c r="BF53" i="3"/>
  <c r="BF55" i="3" s="1"/>
  <c r="K42" i="1" s="1"/>
  <c r="AB53" i="3"/>
  <c r="AB55" i="3" s="1"/>
  <c r="N53" i="3"/>
  <c r="N55" i="3" s="1"/>
  <c r="G56" i="1" s="1"/>
  <c r="G29" i="1" s="1"/>
  <c r="AI53" i="3"/>
  <c r="AI55" i="3" s="1"/>
  <c r="C24" i="1" s="1"/>
  <c r="BT53" i="3"/>
  <c r="BT55" i="3" s="1"/>
  <c r="O28" i="1" s="1"/>
  <c r="CC53" i="3"/>
  <c r="CC55" i="3" s="1"/>
  <c r="S24" i="1" s="1"/>
  <c r="AX53" i="3"/>
  <c r="AX55" i="3" s="1"/>
  <c r="K34" i="1" s="1"/>
  <c r="V53" i="3"/>
  <c r="V55" i="3" s="1"/>
  <c r="AY53" i="3"/>
  <c r="AY55" i="3" s="1"/>
  <c r="K35" i="1" s="1"/>
  <c r="Y53" i="3"/>
  <c r="Y55" i="3" s="1"/>
  <c r="BP53" i="3"/>
  <c r="BP55" i="3" s="1"/>
  <c r="O24" i="1" s="1"/>
  <c r="BS53" i="3"/>
  <c r="BS55" i="3" s="1"/>
  <c r="O27" i="1" s="1"/>
  <c r="AJ53" i="3"/>
  <c r="AJ55" i="3" s="1"/>
  <c r="C25" i="1" s="1"/>
  <c r="D3" i="4"/>
  <c r="B1" i="5" s="1"/>
  <c r="CK53" i="3"/>
  <c r="CK55" i="3" s="1"/>
  <c r="L193" i="5" l="1"/>
  <c r="M192" i="5"/>
  <c r="N191" i="5"/>
  <c r="O190" i="5"/>
  <c r="J189" i="5"/>
  <c r="K188" i="5"/>
  <c r="L187" i="5"/>
  <c r="M186" i="5"/>
  <c r="N185" i="5"/>
  <c r="O184" i="5"/>
  <c r="J183" i="5"/>
  <c r="K182" i="5"/>
  <c r="L181" i="5"/>
  <c r="M180" i="5"/>
  <c r="K186" i="5"/>
  <c r="L185" i="5"/>
  <c r="M184" i="5"/>
  <c r="O182" i="5"/>
  <c r="J181" i="5"/>
  <c r="O193" i="5"/>
  <c r="K191" i="5"/>
  <c r="M189" i="5"/>
  <c r="K185" i="5"/>
  <c r="O181" i="5"/>
  <c r="J180" i="5"/>
  <c r="O192" i="5"/>
  <c r="M188" i="5"/>
  <c r="L183" i="5"/>
  <c r="N192" i="5"/>
  <c r="L188" i="5"/>
  <c r="N180" i="5"/>
  <c r="K193" i="5"/>
  <c r="L192" i="5"/>
  <c r="M191" i="5"/>
  <c r="N190" i="5"/>
  <c r="O189" i="5"/>
  <c r="J188" i="5"/>
  <c r="K187" i="5"/>
  <c r="L186" i="5"/>
  <c r="M185" i="5"/>
  <c r="N184" i="5"/>
  <c r="O183" i="5"/>
  <c r="J182" i="5"/>
  <c r="K181" i="5"/>
  <c r="L180" i="5"/>
  <c r="J187" i="5"/>
  <c r="N183" i="5"/>
  <c r="N188" i="5"/>
  <c r="N182" i="5"/>
  <c r="J191" i="5"/>
  <c r="L189" i="5"/>
  <c r="O186" i="5"/>
  <c r="K184" i="5"/>
  <c r="O180" i="5"/>
  <c r="O191" i="5"/>
  <c r="J190" i="5"/>
  <c r="M187" i="5"/>
  <c r="O185" i="5"/>
  <c r="K183" i="5"/>
  <c r="J193" i="5"/>
  <c r="K192" i="5"/>
  <c r="L191" i="5"/>
  <c r="M190" i="5"/>
  <c r="N189" i="5"/>
  <c r="O188" i="5"/>
  <c r="K180" i="5"/>
  <c r="J192" i="5"/>
  <c r="L190" i="5"/>
  <c r="O187" i="5"/>
  <c r="J186" i="5"/>
  <c r="L184" i="5"/>
  <c r="M183" i="5"/>
  <c r="N193" i="5"/>
  <c r="K190" i="5"/>
  <c r="N187" i="5"/>
  <c r="J185" i="5"/>
  <c r="M182" i="5"/>
  <c r="N181" i="5"/>
  <c r="M193" i="5"/>
  <c r="K189" i="5"/>
  <c r="N186" i="5"/>
  <c r="J184" i="5"/>
  <c r="L182" i="5"/>
  <c r="M181" i="5"/>
  <c r="C21" i="1"/>
  <c r="BI55" i="3"/>
  <c r="K22" i="1" s="1"/>
  <c r="AK55" i="3"/>
  <c r="C26" i="1" s="1"/>
  <c r="BG55" i="3"/>
  <c r="K20" i="1" s="1"/>
  <c r="G48" i="1"/>
  <c r="G20" i="1"/>
  <c r="C33" i="1"/>
  <c r="C34" i="1"/>
  <c r="C35" i="1"/>
  <c r="E2" i="4"/>
  <c r="E3" i="4" s="1"/>
  <c r="C2" i="4"/>
  <c r="E21" i="4"/>
  <c r="I184" i="5" l="1"/>
  <c r="I185" i="5"/>
  <c r="I193" i="5"/>
  <c r="I192" i="5"/>
  <c r="I183" i="5"/>
  <c r="I189" i="5"/>
  <c r="I186" i="5"/>
  <c r="I187" i="5"/>
  <c r="I190" i="5"/>
  <c r="I191" i="5"/>
  <c r="I182" i="5"/>
  <c r="I188" i="5"/>
  <c r="I180" i="5"/>
  <c r="I181" i="5"/>
  <c r="C3" i="4"/>
  <c r="K225" i="5"/>
  <c r="K129" i="5"/>
  <c r="N95" i="5"/>
  <c r="K127" i="5"/>
  <c r="N194" i="5"/>
  <c r="O195" i="5"/>
  <c r="N50" i="5"/>
  <c r="O196" i="5"/>
  <c r="L229" i="5"/>
  <c r="O226" i="5"/>
  <c r="K68" i="5"/>
  <c r="O219" i="5"/>
  <c r="L166" i="5"/>
  <c r="L33" i="5"/>
  <c r="L226" i="5"/>
  <c r="M128" i="5"/>
  <c r="M165" i="5"/>
  <c r="L100" i="5"/>
  <c r="P26" i="5"/>
  <c r="K152" i="5"/>
  <c r="N109" i="5"/>
  <c r="L210" i="5"/>
  <c r="O99" i="5"/>
  <c r="N171" i="5"/>
  <c r="K163" i="5"/>
  <c r="O96" i="5"/>
  <c r="L26" i="5"/>
  <c r="K221" i="5"/>
  <c r="P150" i="5"/>
  <c r="O175" i="5"/>
  <c r="K167" i="5"/>
  <c r="L102" i="5"/>
  <c r="N159" i="5"/>
  <c r="O118" i="5"/>
  <c r="O13" i="5"/>
  <c r="K4" i="5"/>
  <c r="K104" i="5"/>
  <c r="M173" i="5"/>
  <c r="M95" i="5"/>
  <c r="N229" i="5"/>
  <c r="N152" i="5"/>
  <c r="N81" i="5"/>
  <c r="L198" i="5"/>
  <c r="K215" i="5"/>
  <c r="N111" i="5"/>
  <c r="M132" i="5"/>
  <c r="M221" i="5"/>
  <c r="N139" i="5"/>
  <c r="M93" i="5"/>
  <c r="L138" i="5"/>
  <c r="P30" i="5"/>
  <c r="N16" i="5"/>
  <c r="O197" i="5"/>
  <c r="O208" i="5"/>
  <c r="O28" i="5"/>
  <c r="O41" i="5"/>
  <c r="L217" i="5"/>
  <c r="P84" i="5"/>
  <c r="K227" i="5"/>
  <c r="M3" i="5"/>
  <c r="O128" i="5"/>
  <c r="M204" i="5"/>
  <c r="M208" i="5"/>
  <c r="L163" i="5"/>
  <c r="M54" i="5"/>
  <c r="N85" i="5"/>
  <c r="K82" i="5"/>
  <c r="M113" i="5"/>
  <c r="N141" i="5"/>
  <c r="L173" i="5"/>
  <c r="L105" i="5"/>
  <c r="O168" i="5"/>
  <c r="P121" i="5"/>
  <c r="L93" i="5"/>
  <c r="N135" i="5"/>
  <c r="O130" i="5"/>
  <c r="L176" i="5"/>
  <c r="K101" i="5"/>
  <c r="P11" i="5"/>
  <c r="K97" i="5"/>
  <c r="O68" i="5"/>
  <c r="M86" i="5"/>
  <c r="N162" i="5"/>
  <c r="N203" i="5"/>
  <c r="K173" i="5"/>
  <c r="K14" i="5"/>
  <c r="O228" i="5"/>
  <c r="K218" i="5"/>
  <c r="N27" i="5"/>
  <c r="N17" i="5"/>
  <c r="L139" i="5"/>
  <c r="M62" i="5"/>
  <c r="P61" i="5"/>
  <c r="O54" i="5"/>
  <c r="O44" i="5"/>
  <c r="L110" i="5"/>
  <c r="P126" i="5"/>
  <c r="K38" i="5"/>
  <c r="N23" i="5"/>
  <c r="O178" i="5"/>
  <c r="L74" i="5"/>
  <c r="N24" i="5"/>
  <c r="N63" i="5"/>
  <c r="P163" i="5"/>
  <c r="O173" i="5"/>
  <c r="K64" i="5"/>
  <c r="M68" i="5"/>
  <c r="N54" i="5"/>
  <c r="L142" i="5"/>
  <c r="N105" i="5"/>
  <c r="O65" i="5"/>
  <c r="O120" i="5"/>
  <c r="L101" i="5"/>
  <c r="K17" i="5"/>
  <c r="L98" i="5"/>
  <c r="L12" i="5"/>
  <c r="K134" i="5"/>
  <c r="N133" i="5"/>
  <c r="P45" i="5"/>
  <c r="M119" i="5"/>
  <c r="K208" i="5"/>
  <c r="L16" i="5"/>
  <c r="M108" i="5"/>
  <c r="M121" i="5"/>
  <c r="M151" i="5"/>
  <c r="P31" i="5"/>
  <c r="K11" i="5"/>
  <c r="L122" i="5"/>
  <c r="O78" i="5"/>
  <c r="M138" i="5"/>
  <c r="L162" i="5"/>
  <c r="M168" i="5"/>
  <c r="N202" i="5"/>
  <c r="P110" i="5"/>
  <c r="P28" i="5"/>
  <c r="M167" i="5"/>
  <c r="O108" i="5"/>
  <c r="L201" i="5"/>
  <c r="M227" i="5"/>
  <c r="O221" i="5"/>
  <c r="M17" i="5"/>
  <c r="N12" i="5"/>
  <c r="P21" i="5"/>
  <c r="O161" i="5"/>
  <c r="K46" i="5"/>
  <c r="L19" i="5"/>
  <c r="N147" i="5"/>
  <c r="L157" i="5"/>
  <c r="O177" i="5"/>
  <c r="O171" i="5"/>
  <c r="M131" i="5"/>
  <c r="L109" i="5"/>
  <c r="N94" i="5"/>
  <c r="K19" i="5"/>
  <c r="N160" i="5"/>
  <c r="L84" i="5"/>
  <c r="L50" i="5"/>
  <c r="N65" i="5"/>
  <c r="O90" i="5"/>
  <c r="L228" i="5"/>
  <c r="L88" i="5"/>
  <c r="K108" i="5"/>
  <c r="O123" i="5"/>
  <c r="O61" i="5"/>
  <c r="O9" i="5"/>
  <c r="L172" i="5"/>
  <c r="L67" i="5"/>
  <c r="P164" i="5"/>
  <c r="M215" i="5"/>
  <c r="M214" i="5"/>
  <c r="M129" i="5"/>
  <c r="P65" i="5"/>
  <c r="P5" i="5"/>
  <c r="P108" i="5"/>
  <c r="K67" i="5"/>
  <c r="M77" i="5"/>
  <c r="M103" i="5"/>
  <c r="P13" i="5"/>
  <c r="L103" i="5"/>
  <c r="O58" i="5"/>
  <c r="M196" i="5"/>
  <c r="L55" i="5"/>
  <c r="L135" i="5"/>
  <c r="L13" i="5"/>
  <c r="P14" i="5"/>
  <c r="N140" i="5"/>
  <c r="M140" i="5"/>
  <c r="P12" i="5"/>
  <c r="N212" i="5"/>
  <c r="O209" i="5"/>
  <c r="M195" i="5"/>
  <c r="M4" i="5"/>
  <c r="K56" i="5"/>
  <c r="K137" i="5"/>
  <c r="L165" i="5"/>
  <c r="K139" i="5"/>
  <c r="N86" i="5"/>
  <c r="L175" i="5"/>
  <c r="L160" i="5"/>
  <c r="L58" i="5"/>
  <c r="L36" i="5"/>
  <c r="O80" i="5"/>
  <c r="N157" i="5"/>
  <c r="M120" i="5"/>
  <c r="K71" i="5"/>
  <c r="O167" i="5"/>
  <c r="P64" i="5"/>
  <c r="K111" i="5"/>
  <c r="L3" i="5"/>
  <c r="K217" i="5"/>
  <c r="N31" i="5"/>
  <c r="O29" i="5"/>
  <c r="O139" i="5"/>
  <c r="K126" i="5"/>
  <c r="K116" i="5"/>
  <c r="N120" i="5"/>
  <c r="O100" i="5"/>
  <c r="O55" i="5"/>
  <c r="L227" i="5"/>
  <c r="N112" i="5"/>
  <c r="P120" i="5"/>
  <c r="N40" i="5"/>
  <c r="O200" i="5"/>
  <c r="K34" i="5"/>
  <c r="M123" i="5"/>
  <c r="M205" i="5"/>
  <c r="P147" i="5"/>
  <c r="M98" i="5"/>
  <c r="K162" i="5"/>
  <c r="O48" i="5"/>
  <c r="O26" i="5"/>
  <c r="N84" i="5"/>
  <c r="O212" i="5"/>
  <c r="M158" i="5"/>
  <c r="N179" i="5"/>
  <c r="K106" i="5"/>
  <c r="N118" i="5"/>
  <c r="M207" i="5"/>
  <c r="K110" i="5"/>
  <c r="M29" i="5"/>
  <c r="K100" i="5"/>
  <c r="N164" i="5"/>
  <c r="M83" i="5"/>
  <c r="N153" i="5"/>
  <c r="O18" i="5"/>
  <c r="L215" i="5"/>
  <c r="N132" i="5"/>
  <c r="N59" i="5"/>
  <c r="P114" i="5"/>
  <c r="O157" i="5"/>
  <c r="L207" i="5"/>
  <c r="N197" i="5"/>
  <c r="O207" i="5"/>
  <c r="M27" i="5"/>
  <c r="O6" i="5"/>
  <c r="N10" i="5"/>
  <c r="P118" i="5"/>
  <c r="O21" i="5"/>
  <c r="N207" i="5"/>
  <c r="M229" i="5"/>
  <c r="O16" i="5"/>
  <c r="M206" i="5"/>
  <c r="L219" i="5"/>
  <c r="L150" i="5"/>
  <c r="L218" i="5"/>
  <c r="K224" i="5"/>
  <c r="K226" i="5"/>
  <c r="N174" i="5"/>
  <c r="L89" i="5"/>
  <c r="M126" i="5"/>
  <c r="N213" i="5"/>
  <c r="N204" i="5"/>
  <c r="P24" i="5"/>
  <c r="P9" i="5"/>
  <c r="O114" i="5"/>
  <c r="L97" i="5"/>
  <c r="M84" i="5"/>
  <c r="N62" i="5"/>
  <c r="O214" i="5"/>
  <c r="M117" i="5"/>
  <c r="M65" i="5"/>
  <c r="L168" i="5"/>
  <c r="O23" i="5"/>
  <c r="P104" i="5"/>
  <c r="N217" i="5"/>
  <c r="N25" i="5"/>
  <c r="L225" i="5"/>
  <c r="O204" i="5"/>
  <c r="O42" i="5"/>
  <c r="M118" i="5"/>
  <c r="O73" i="5"/>
  <c r="P109" i="5"/>
  <c r="K58" i="5"/>
  <c r="P52" i="5"/>
  <c r="K52" i="5"/>
  <c r="K26" i="5"/>
  <c r="K209" i="5"/>
  <c r="O172" i="5"/>
  <c r="K216" i="5"/>
  <c r="M107" i="5"/>
  <c r="N175" i="5"/>
  <c r="K118" i="5"/>
  <c r="M57" i="5"/>
  <c r="K164" i="5"/>
  <c r="N55" i="5"/>
  <c r="O205" i="5"/>
  <c r="M224" i="5"/>
  <c r="P68" i="5"/>
  <c r="L131" i="5"/>
  <c r="K112" i="5"/>
  <c r="O32" i="5"/>
  <c r="N123" i="5"/>
  <c r="K81" i="5"/>
  <c r="N155" i="5"/>
  <c r="P85" i="5"/>
  <c r="L32" i="5"/>
  <c r="N158" i="5"/>
  <c r="L128" i="5"/>
  <c r="O223" i="5"/>
  <c r="M88" i="5"/>
  <c r="M7" i="5"/>
  <c r="L23" i="5"/>
  <c r="K65" i="5"/>
  <c r="L51" i="5"/>
  <c r="K130" i="5"/>
  <c r="K95" i="5"/>
  <c r="O156" i="5"/>
  <c r="N206" i="5"/>
  <c r="K198" i="5"/>
  <c r="M222" i="5"/>
  <c r="M201" i="5"/>
  <c r="P78" i="5"/>
  <c r="L212" i="5"/>
  <c r="O10" i="5"/>
  <c r="K114" i="5"/>
  <c r="L174" i="5"/>
  <c r="K165" i="5"/>
  <c r="L112" i="5"/>
  <c r="M64" i="5"/>
  <c r="N73" i="5"/>
  <c r="L127" i="5"/>
  <c r="O8" i="5"/>
  <c r="L30" i="5"/>
  <c r="M33" i="5"/>
  <c r="M52" i="5"/>
  <c r="N6" i="5"/>
  <c r="K96" i="5"/>
  <c r="L171" i="5"/>
  <c r="L123" i="5"/>
  <c r="K73" i="5"/>
  <c r="L53" i="5"/>
  <c r="P111" i="5"/>
  <c r="L71" i="5"/>
  <c r="L27" i="5"/>
  <c r="L129" i="5"/>
  <c r="N89" i="5"/>
  <c r="K72" i="5"/>
  <c r="K74" i="5"/>
  <c r="L14" i="5"/>
  <c r="M40" i="5"/>
  <c r="N35" i="5"/>
  <c r="P74" i="5"/>
  <c r="L121" i="5"/>
  <c r="O164" i="5"/>
  <c r="K149" i="5"/>
  <c r="M73" i="5"/>
  <c r="L125" i="5"/>
  <c r="K140" i="5"/>
  <c r="M194" i="5"/>
  <c r="M80" i="5"/>
  <c r="M130" i="5"/>
  <c r="K142" i="5"/>
  <c r="O20" i="5"/>
  <c r="O169" i="5"/>
  <c r="M31" i="5"/>
  <c r="O176" i="5"/>
  <c r="O57" i="5"/>
  <c r="P76" i="5"/>
  <c r="N128" i="5"/>
  <c r="O82" i="5"/>
  <c r="M111" i="5"/>
  <c r="M164" i="5"/>
  <c r="O71" i="5"/>
  <c r="N29" i="5"/>
  <c r="M179" i="5"/>
  <c r="N52" i="5"/>
  <c r="O206" i="5"/>
  <c r="P138" i="5"/>
  <c r="K146" i="5"/>
  <c r="N195" i="5"/>
  <c r="K203" i="5"/>
  <c r="N178" i="5"/>
  <c r="L22" i="5"/>
  <c r="P50" i="5"/>
  <c r="L206" i="5"/>
  <c r="P94" i="5"/>
  <c r="O83" i="5"/>
  <c r="L147" i="5"/>
  <c r="K44" i="5"/>
  <c r="K20" i="5"/>
  <c r="N41" i="5"/>
  <c r="O53" i="5"/>
  <c r="M202" i="5"/>
  <c r="M78" i="5"/>
  <c r="N172" i="5"/>
  <c r="K207" i="5"/>
  <c r="K156" i="5"/>
  <c r="P117" i="5"/>
  <c r="P166" i="5"/>
  <c r="L149" i="5"/>
  <c r="N74" i="5"/>
  <c r="N66" i="5"/>
  <c r="P119" i="5"/>
  <c r="O25" i="5"/>
  <c r="P92" i="5"/>
  <c r="N156" i="5"/>
  <c r="P151" i="5"/>
  <c r="N3" i="5"/>
  <c r="P116" i="5"/>
  <c r="P48" i="5"/>
  <c r="N75" i="5"/>
  <c r="K212" i="5"/>
  <c r="O43" i="5"/>
  <c r="O112" i="5"/>
  <c r="L96" i="5"/>
  <c r="M124" i="5"/>
  <c r="M133" i="5"/>
  <c r="M211" i="5"/>
  <c r="N107" i="5"/>
  <c r="P102" i="5"/>
  <c r="M45" i="5"/>
  <c r="N48" i="5"/>
  <c r="P139" i="5"/>
  <c r="O98" i="5"/>
  <c r="P107" i="5"/>
  <c r="M147" i="5"/>
  <c r="M36" i="5"/>
  <c r="K210" i="5"/>
  <c r="L42" i="5"/>
  <c r="L140" i="5"/>
  <c r="O34" i="5"/>
  <c r="K144" i="5"/>
  <c r="O225" i="5"/>
  <c r="O210" i="5"/>
  <c r="M9" i="5"/>
  <c r="O211" i="5"/>
  <c r="L222" i="5"/>
  <c r="P19" i="5"/>
  <c r="N150" i="5"/>
  <c r="K89" i="5"/>
  <c r="K135" i="5"/>
  <c r="P171" i="5"/>
  <c r="K33" i="5"/>
  <c r="K151" i="5"/>
  <c r="O213" i="5"/>
  <c r="M13" i="5"/>
  <c r="M139" i="5"/>
  <c r="O137" i="5"/>
  <c r="K99" i="5"/>
  <c r="O135" i="5"/>
  <c r="K79" i="5"/>
  <c r="N101" i="5"/>
  <c r="N222" i="5"/>
  <c r="N154" i="5"/>
  <c r="M174" i="5"/>
  <c r="O140" i="5"/>
  <c r="L77" i="5"/>
  <c r="O163" i="5"/>
  <c r="M105" i="5"/>
  <c r="K85" i="5"/>
  <c r="M49" i="5"/>
  <c r="L151" i="5"/>
  <c r="N148" i="5"/>
  <c r="K75" i="5"/>
  <c r="K45" i="5"/>
  <c r="M99" i="5"/>
  <c r="P113" i="5"/>
  <c r="O165" i="5"/>
  <c r="O143" i="5"/>
  <c r="N61" i="5"/>
  <c r="L82" i="5"/>
  <c r="P106" i="5"/>
  <c r="M170" i="5"/>
  <c r="K47" i="5"/>
  <c r="N138" i="5"/>
  <c r="P135" i="5"/>
  <c r="M85" i="5"/>
  <c r="N7" i="5"/>
  <c r="N165" i="5"/>
  <c r="L161" i="5"/>
  <c r="O149" i="5"/>
  <c r="L70" i="5"/>
  <c r="O121" i="5"/>
  <c r="P36" i="5"/>
  <c r="N227" i="5"/>
  <c r="O62" i="5"/>
  <c r="P20" i="5"/>
  <c r="K8" i="5"/>
  <c r="P125" i="5"/>
  <c r="P49" i="5"/>
  <c r="L209" i="5"/>
  <c r="M166" i="5"/>
  <c r="P131" i="5"/>
  <c r="K213" i="5"/>
  <c r="N71" i="5"/>
  <c r="O132" i="5"/>
  <c r="K41" i="5"/>
  <c r="O158" i="5"/>
  <c r="M142" i="5"/>
  <c r="L81" i="5"/>
  <c r="P99" i="5"/>
  <c r="O5" i="5"/>
  <c r="O151" i="5"/>
  <c r="L159" i="5"/>
  <c r="M226" i="5"/>
  <c r="N137" i="5"/>
  <c r="M39" i="5"/>
  <c r="M50" i="5"/>
  <c r="L116" i="5"/>
  <c r="P175" i="5"/>
  <c r="L41" i="5"/>
  <c r="M156" i="5"/>
  <c r="L107" i="5"/>
  <c r="K77" i="5"/>
  <c r="M116" i="5"/>
  <c r="O109" i="5"/>
  <c r="P96" i="5"/>
  <c r="L46" i="5"/>
  <c r="M178" i="5"/>
  <c r="L59" i="5"/>
  <c r="K150" i="5"/>
  <c r="K18" i="5"/>
  <c r="K229" i="5"/>
  <c r="K196" i="5"/>
  <c r="M127" i="5"/>
  <c r="N5" i="5"/>
  <c r="L224" i="5"/>
  <c r="N177" i="5"/>
  <c r="M97" i="5"/>
  <c r="L40" i="5"/>
  <c r="P27" i="5"/>
  <c r="O95" i="5"/>
  <c r="K5" i="5"/>
  <c r="K32" i="5"/>
  <c r="K15" i="5"/>
  <c r="P98" i="5"/>
  <c r="M110" i="5"/>
  <c r="K42" i="5"/>
  <c r="P95" i="5"/>
  <c r="O87" i="5"/>
  <c r="N196" i="5"/>
  <c r="O37" i="5"/>
  <c r="K80" i="5"/>
  <c r="P77" i="5"/>
  <c r="M213" i="5"/>
  <c r="L17" i="5"/>
  <c r="N13" i="5"/>
  <c r="P169" i="5"/>
  <c r="P66" i="5"/>
  <c r="P152" i="5"/>
  <c r="L69" i="5"/>
  <c r="M10" i="5"/>
  <c r="N216" i="5"/>
  <c r="K121" i="5"/>
  <c r="P80" i="5"/>
  <c r="P162" i="5"/>
  <c r="O101" i="5"/>
  <c r="P90" i="5"/>
  <c r="L164" i="5"/>
  <c r="K53" i="5"/>
  <c r="K43" i="5"/>
  <c r="M74" i="5"/>
  <c r="P43" i="5"/>
  <c r="L117" i="5"/>
  <c r="L72" i="5"/>
  <c r="K201" i="5"/>
  <c r="M59" i="5"/>
  <c r="P57" i="5"/>
  <c r="M141" i="5"/>
  <c r="K59" i="5"/>
  <c r="N56" i="5"/>
  <c r="L126" i="5"/>
  <c r="L47" i="5"/>
  <c r="O70" i="5"/>
  <c r="K157" i="5"/>
  <c r="N224" i="5"/>
  <c r="N22" i="5"/>
  <c r="N163" i="5"/>
  <c r="N78" i="5"/>
  <c r="N119" i="5"/>
  <c r="L31" i="5"/>
  <c r="L57" i="5"/>
  <c r="L137" i="5"/>
  <c r="K171" i="5"/>
  <c r="M91" i="5"/>
  <c r="O66" i="5"/>
  <c r="K220" i="5"/>
  <c r="O113" i="5"/>
  <c r="M16" i="5"/>
  <c r="L145" i="5"/>
  <c r="N87" i="5"/>
  <c r="O77" i="5"/>
  <c r="M66" i="5"/>
  <c r="M176" i="5"/>
  <c r="M161" i="5"/>
  <c r="N26" i="5"/>
  <c r="K28" i="5"/>
  <c r="O202" i="5"/>
  <c r="M82" i="5"/>
  <c r="M163" i="5"/>
  <c r="K141" i="5"/>
  <c r="L195" i="5"/>
  <c r="K120" i="5"/>
  <c r="M55" i="5"/>
  <c r="M102" i="5"/>
  <c r="O142" i="5"/>
  <c r="L21" i="5"/>
  <c r="L60" i="5"/>
  <c r="O138" i="5"/>
  <c r="O59" i="5"/>
  <c r="K16" i="5"/>
  <c r="L34" i="5"/>
  <c r="P140" i="5"/>
  <c r="O146" i="5"/>
  <c r="P53" i="5"/>
  <c r="M148" i="5"/>
  <c r="K115" i="5"/>
  <c r="N14" i="5"/>
  <c r="L20" i="5"/>
  <c r="N131" i="5"/>
  <c r="O116" i="5"/>
  <c r="L10" i="5"/>
  <c r="P155" i="5"/>
  <c r="K84" i="5"/>
  <c r="P83" i="5"/>
  <c r="N108" i="5"/>
  <c r="L73" i="5"/>
  <c r="O24" i="5"/>
  <c r="N45" i="5"/>
  <c r="N146" i="5"/>
  <c r="L197" i="5"/>
  <c r="K148" i="5"/>
  <c r="K204" i="5"/>
  <c r="L56" i="5"/>
  <c r="L25" i="5"/>
  <c r="M75" i="5"/>
  <c r="O94" i="5"/>
  <c r="L86" i="5"/>
  <c r="N4" i="5"/>
  <c r="N225" i="5"/>
  <c r="K206" i="5"/>
  <c r="N19" i="5"/>
  <c r="N93" i="5"/>
  <c r="P70" i="5"/>
  <c r="O93" i="5"/>
  <c r="N11" i="5"/>
  <c r="K103" i="5"/>
  <c r="L146" i="5"/>
  <c r="M76" i="5"/>
  <c r="K128" i="5"/>
  <c r="J42" i="5"/>
  <c r="J6" i="5"/>
  <c r="O215" i="5"/>
  <c r="M152" i="5"/>
  <c r="L79" i="5"/>
  <c r="L24" i="5"/>
  <c r="M160" i="5"/>
  <c r="P55" i="5"/>
  <c r="M115" i="5"/>
  <c r="N30" i="5"/>
  <c r="L99" i="5"/>
  <c r="K24" i="5"/>
  <c r="N67" i="5"/>
  <c r="M47" i="5"/>
  <c r="K200" i="5"/>
  <c r="N80" i="5"/>
  <c r="O147" i="5"/>
  <c r="P159" i="5"/>
  <c r="O106" i="5"/>
  <c r="N69" i="5"/>
  <c r="M143" i="5"/>
  <c r="N149" i="5"/>
  <c r="K63" i="5"/>
  <c r="P37" i="5"/>
  <c r="M14" i="5"/>
  <c r="L6" i="5"/>
  <c r="K179" i="5"/>
  <c r="L85" i="5"/>
  <c r="O7" i="5"/>
  <c r="N99" i="5"/>
  <c r="K61" i="5"/>
  <c r="M26" i="5"/>
  <c r="M18" i="5"/>
  <c r="M216" i="5"/>
  <c r="O162" i="5"/>
  <c r="O47" i="5"/>
  <c r="P33" i="5"/>
  <c r="P153" i="5"/>
  <c r="P86" i="5"/>
  <c r="P71" i="5"/>
  <c r="P142" i="5"/>
  <c r="M70" i="5"/>
  <c r="L91" i="5"/>
  <c r="K12" i="5"/>
  <c r="N32" i="5"/>
  <c r="K62" i="5"/>
  <c r="L118" i="5"/>
  <c r="L9" i="5"/>
  <c r="M145" i="5"/>
  <c r="L83" i="5"/>
  <c r="M48" i="5"/>
  <c r="M228" i="5"/>
  <c r="M34" i="5"/>
  <c r="K88" i="5"/>
  <c r="P42" i="5"/>
  <c r="O81" i="5"/>
  <c r="L108" i="5"/>
  <c r="J151" i="5"/>
  <c r="J111" i="5"/>
  <c r="O170" i="5"/>
  <c r="M35" i="5"/>
  <c r="P15" i="5"/>
  <c r="O22" i="5"/>
  <c r="O154" i="5"/>
  <c r="K219" i="5"/>
  <c r="L7" i="5"/>
  <c r="K195" i="5"/>
  <c r="N211" i="5"/>
  <c r="O76" i="5"/>
  <c r="N170" i="5"/>
  <c r="O155" i="5"/>
  <c r="P101" i="5"/>
  <c r="M46" i="5"/>
  <c r="K161" i="5"/>
  <c r="N117" i="5"/>
  <c r="P156" i="5"/>
  <c r="K83" i="5"/>
  <c r="N223" i="5"/>
  <c r="K175" i="5"/>
  <c r="N39" i="5"/>
  <c r="L196" i="5"/>
  <c r="N21" i="5"/>
  <c r="M69" i="5"/>
  <c r="L153" i="5"/>
  <c r="M44" i="5"/>
  <c r="M61" i="5"/>
  <c r="O84" i="5"/>
  <c r="P32" i="5"/>
  <c r="N82" i="5"/>
  <c r="O216" i="5"/>
  <c r="P81" i="5"/>
  <c r="P59" i="5"/>
  <c r="M122" i="5"/>
  <c r="P73" i="5"/>
  <c r="P7" i="5"/>
  <c r="P160" i="5"/>
  <c r="N127" i="5"/>
  <c r="L94" i="5"/>
  <c r="N44" i="5"/>
  <c r="O227" i="5"/>
  <c r="N53" i="5"/>
  <c r="O136" i="5"/>
  <c r="O4" i="5"/>
  <c r="L61" i="5"/>
  <c r="O125" i="5"/>
  <c r="K49" i="5"/>
  <c r="L204" i="5"/>
  <c r="K160" i="5"/>
  <c r="O91" i="5"/>
  <c r="N124" i="5"/>
  <c r="K138" i="5"/>
  <c r="P129" i="5"/>
  <c r="K158" i="5"/>
  <c r="K214" i="5"/>
  <c r="P6" i="5"/>
  <c r="N200" i="5"/>
  <c r="N20" i="5"/>
  <c r="M6" i="5"/>
  <c r="N38" i="5"/>
  <c r="M153" i="5"/>
  <c r="N83" i="5"/>
  <c r="K48" i="5"/>
  <c r="L170" i="5"/>
  <c r="L66" i="5"/>
  <c r="N166" i="5"/>
  <c r="N214" i="5"/>
  <c r="P38" i="5"/>
  <c r="K10" i="5"/>
  <c r="K21" i="5"/>
  <c r="L111" i="5"/>
  <c r="M43" i="5"/>
  <c r="N209" i="5"/>
  <c r="M53" i="5"/>
  <c r="N28" i="5"/>
  <c r="O141" i="5"/>
  <c r="P168" i="5"/>
  <c r="K119" i="5"/>
  <c r="M56" i="5"/>
  <c r="P79" i="5"/>
  <c r="L120" i="5"/>
  <c r="M217" i="5"/>
  <c r="J105" i="5"/>
  <c r="J150" i="5"/>
  <c r="L4" i="5"/>
  <c r="P75" i="5"/>
  <c r="P136" i="5"/>
  <c r="N100" i="5"/>
  <c r="P47" i="5"/>
  <c r="N219" i="5"/>
  <c r="N77" i="5"/>
  <c r="M197" i="5"/>
  <c r="N106" i="5"/>
  <c r="K6" i="5"/>
  <c r="L144" i="5"/>
  <c r="O122" i="5"/>
  <c r="O220" i="5"/>
  <c r="N201" i="5"/>
  <c r="N103" i="5"/>
  <c r="P51" i="5"/>
  <c r="L221" i="5"/>
  <c r="K70" i="5"/>
  <c r="N221" i="5"/>
  <c r="L179" i="5"/>
  <c r="P144" i="5"/>
  <c r="M21" i="5"/>
  <c r="L49" i="5"/>
  <c r="N76" i="5"/>
  <c r="O63" i="5"/>
  <c r="N220" i="5"/>
  <c r="N136" i="5"/>
  <c r="K178" i="5"/>
  <c r="K29" i="5"/>
  <c r="O131" i="5"/>
  <c r="M38" i="5"/>
  <c r="O218" i="5"/>
  <c r="O105" i="5"/>
  <c r="N42" i="5"/>
  <c r="K107" i="5"/>
  <c r="N143" i="5"/>
  <c r="M169" i="5"/>
  <c r="L37" i="5"/>
  <c r="K202" i="5"/>
  <c r="K211" i="5"/>
  <c r="P72" i="5"/>
  <c r="N34" i="5"/>
  <c r="O50" i="5"/>
  <c r="P58" i="5"/>
  <c r="L220" i="5"/>
  <c r="P145" i="5"/>
  <c r="O60" i="5"/>
  <c r="N33" i="5"/>
  <c r="K194" i="5"/>
  <c r="O174" i="5"/>
  <c r="O129" i="5"/>
  <c r="L15" i="5"/>
  <c r="O119" i="5"/>
  <c r="O124" i="5"/>
  <c r="L68" i="5"/>
  <c r="O51" i="5"/>
  <c r="J19" i="5"/>
  <c r="J49" i="5"/>
  <c r="N122" i="5"/>
  <c r="K86" i="5"/>
  <c r="P62" i="5"/>
  <c r="L76" i="5"/>
  <c r="K57" i="5"/>
  <c r="J204" i="5"/>
  <c r="J81" i="5"/>
  <c r="J69" i="5"/>
  <c r="J112" i="5"/>
  <c r="J139" i="5"/>
  <c r="J209" i="5"/>
  <c r="J3" i="5"/>
  <c r="P174" i="5"/>
  <c r="P149" i="5"/>
  <c r="P130" i="5"/>
  <c r="O134" i="5"/>
  <c r="O179" i="5"/>
  <c r="J47" i="5"/>
  <c r="J208" i="5"/>
  <c r="L143" i="5"/>
  <c r="N104" i="5"/>
  <c r="K124" i="5"/>
  <c r="N145" i="5"/>
  <c r="K25" i="5"/>
  <c r="M32" i="5"/>
  <c r="P25" i="5"/>
  <c r="K54" i="5"/>
  <c r="K76" i="5"/>
  <c r="L133" i="5"/>
  <c r="N79" i="5"/>
  <c r="N96" i="5"/>
  <c r="N91" i="5"/>
  <c r="M19" i="5"/>
  <c r="K205" i="5"/>
  <c r="K197" i="5"/>
  <c r="N121" i="5"/>
  <c r="P134" i="5"/>
  <c r="O45" i="5"/>
  <c r="O144" i="5"/>
  <c r="L78" i="5"/>
  <c r="M112" i="5"/>
  <c r="L200" i="5"/>
  <c r="N208" i="5"/>
  <c r="P23" i="5"/>
  <c r="P88" i="5"/>
  <c r="L203" i="5"/>
  <c r="M11" i="5"/>
  <c r="P148" i="5"/>
  <c r="M72" i="5"/>
  <c r="K174" i="5"/>
  <c r="L104" i="5"/>
  <c r="L54" i="5"/>
  <c r="P127" i="5"/>
  <c r="N51" i="5"/>
  <c r="N102" i="5"/>
  <c r="O103" i="5"/>
  <c r="K223" i="5"/>
  <c r="L158" i="5"/>
  <c r="N226" i="5"/>
  <c r="K143" i="5"/>
  <c r="P115" i="5"/>
  <c r="O89" i="5"/>
  <c r="M134" i="5"/>
  <c r="M220" i="5"/>
  <c r="L113" i="5"/>
  <c r="L216" i="5"/>
  <c r="K37" i="5"/>
  <c r="O97" i="5"/>
  <c r="P16" i="5"/>
  <c r="M155" i="5"/>
  <c r="N60" i="5"/>
  <c r="O133" i="5"/>
  <c r="O27" i="5"/>
  <c r="K40" i="5"/>
  <c r="P3" i="5"/>
  <c r="N125" i="5"/>
  <c r="K113" i="5"/>
  <c r="L52" i="5"/>
  <c r="M135" i="5"/>
  <c r="O160" i="5"/>
  <c r="M67" i="5"/>
  <c r="N37" i="5"/>
  <c r="O229" i="5"/>
  <c r="O31" i="5"/>
  <c r="O46" i="5"/>
  <c r="L167" i="5"/>
  <c r="P128" i="5"/>
  <c r="O40" i="5"/>
  <c r="P97" i="5"/>
  <c r="O72" i="5"/>
  <c r="O36" i="5"/>
  <c r="O110" i="5"/>
  <c r="N173" i="5"/>
  <c r="O35" i="5"/>
  <c r="M24" i="5"/>
  <c r="M200" i="5"/>
  <c r="O111" i="5"/>
  <c r="L87" i="5"/>
  <c r="K105" i="5"/>
  <c r="N18" i="5"/>
  <c r="K30" i="5"/>
  <c r="J32" i="5"/>
  <c r="J21" i="5"/>
  <c r="L213" i="5"/>
  <c r="O12" i="5"/>
  <c r="L223" i="5"/>
  <c r="O52" i="5"/>
  <c r="P60" i="5"/>
  <c r="K166" i="5"/>
  <c r="M37" i="5"/>
  <c r="N116" i="5"/>
  <c r="P67" i="5"/>
  <c r="K55" i="5"/>
  <c r="K31" i="5"/>
  <c r="M104" i="5"/>
  <c r="K50" i="5"/>
  <c r="L152" i="5"/>
  <c r="P172" i="5"/>
  <c r="P87" i="5"/>
  <c r="M60" i="5"/>
  <c r="N134" i="5"/>
  <c r="K98" i="5"/>
  <c r="P56" i="5"/>
  <c r="M137" i="5"/>
  <c r="O56" i="5"/>
  <c r="K155" i="5"/>
  <c r="N126" i="5"/>
  <c r="O194" i="5"/>
  <c r="O222" i="5"/>
  <c r="N90" i="5"/>
  <c r="M42" i="5"/>
  <c r="L155" i="5"/>
  <c r="M150" i="5"/>
  <c r="K36" i="5"/>
  <c r="L214" i="5"/>
  <c r="L208" i="5"/>
  <c r="L90" i="5"/>
  <c r="P17" i="5"/>
  <c r="O104" i="5"/>
  <c r="K90" i="5"/>
  <c r="M100" i="5"/>
  <c r="L115" i="5"/>
  <c r="N70" i="5"/>
  <c r="N205" i="5"/>
  <c r="K78" i="5"/>
  <c r="N167" i="5"/>
  <c r="O107" i="5"/>
  <c r="K23" i="5"/>
  <c r="P173" i="5"/>
  <c r="P4" i="5"/>
  <c r="O127" i="5"/>
  <c r="L141" i="5"/>
  <c r="K122" i="5"/>
  <c r="O145" i="5"/>
  <c r="N115" i="5"/>
  <c r="P35" i="5"/>
  <c r="O14" i="5"/>
  <c r="J219" i="5"/>
  <c r="J41" i="5"/>
  <c r="J205" i="5"/>
  <c r="L106" i="5"/>
  <c r="L38" i="5"/>
  <c r="M125" i="5"/>
  <c r="O86" i="5"/>
  <c r="K102" i="5"/>
  <c r="M94" i="5"/>
  <c r="O75" i="5"/>
  <c r="J153" i="5"/>
  <c r="J229" i="5"/>
  <c r="J17" i="5"/>
  <c r="J22" i="5"/>
  <c r="J117" i="5"/>
  <c r="J89" i="5"/>
  <c r="J137" i="5"/>
  <c r="J36" i="5"/>
  <c r="M144" i="5"/>
  <c r="N129" i="5"/>
  <c r="O126" i="5"/>
  <c r="L28" i="5"/>
  <c r="P44" i="5"/>
  <c r="N88" i="5"/>
  <c r="L5" i="5"/>
  <c r="O166" i="5"/>
  <c r="L11" i="5"/>
  <c r="K153" i="5"/>
  <c r="P89" i="5"/>
  <c r="N176" i="5"/>
  <c r="M12" i="5"/>
  <c r="K7" i="5"/>
  <c r="K123" i="5"/>
  <c r="O49" i="5"/>
  <c r="L18" i="5"/>
  <c r="P8" i="5"/>
  <c r="L177" i="5"/>
  <c r="L169" i="5"/>
  <c r="O74" i="5"/>
  <c r="P165" i="5"/>
  <c r="M96" i="5"/>
  <c r="O115" i="5"/>
  <c r="K3" i="5"/>
  <c r="K172" i="5"/>
  <c r="N47" i="5"/>
  <c r="P29" i="5"/>
  <c r="L205" i="5"/>
  <c r="K132" i="5"/>
  <c r="P54" i="5"/>
  <c r="P91" i="5"/>
  <c r="K22" i="5"/>
  <c r="L119" i="5"/>
  <c r="P122" i="5"/>
  <c r="N130" i="5"/>
  <c r="M28" i="5"/>
  <c r="K133" i="5"/>
  <c r="J201" i="5"/>
  <c r="J140" i="5"/>
  <c r="J9" i="5"/>
  <c r="J210" i="5"/>
  <c r="M225" i="5"/>
  <c r="M162" i="5"/>
  <c r="M154" i="5"/>
  <c r="N228" i="5"/>
  <c r="N161" i="5"/>
  <c r="J109" i="5"/>
  <c r="J70" i="5"/>
  <c r="J88" i="5"/>
  <c r="J220" i="5"/>
  <c r="J212" i="5"/>
  <c r="J84" i="5"/>
  <c r="J12" i="5"/>
  <c r="J141" i="5"/>
  <c r="J119" i="5"/>
  <c r="J24" i="5"/>
  <c r="J225" i="5"/>
  <c r="J148" i="5"/>
  <c r="J52" i="5"/>
  <c r="O217" i="5"/>
  <c r="K51" i="5"/>
  <c r="M22" i="5"/>
  <c r="L202" i="5"/>
  <c r="K66" i="5"/>
  <c r="K168" i="5"/>
  <c r="M101" i="5"/>
  <c r="J90" i="5"/>
  <c r="J78" i="5"/>
  <c r="J25" i="5"/>
  <c r="J80" i="5"/>
  <c r="J206" i="5"/>
  <c r="J31" i="5"/>
  <c r="J98" i="5"/>
  <c r="O30" i="5"/>
  <c r="J203" i="5"/>
  <c r="J77" i="5"/>
  <c r="J158" i="5"/>
  <c r="J45" i="5"/>
  <c r="J29" i="5"/>
  <c r="J37" i="5"/>
  <c r="J156" i="5"/>
  <c r="J10" i="5"/>
  <c r="O11" i="5"/>
  <c r="J62" i="5"/>
  <c r="J33" i="5"/>
  <c r="J59" i="5"/>
  <c r="J60" i="5"/>
  <c r="J155" i="5"/>
  <c r="J44" i="5"/>
  <c r="M89" i="5"/>
  <c r="L75" i="5"/>
  <c r="J152" i="5"/>
  <c r="J197" i="5"/>
  <c r="J106" i="5"/>
  <c r="N114" i="5"/>
  <c r="O17" i="5"/>
  <c r="J46" i="5"/>
  <c r="J131" i="5"/>
  <c r="J93" i="5"/>
  <c r="J54" i="5"/>
  <c r="N142" i="5"/>
  <c r="J223" i="5"/>
  <c r="J64" i="5"/>
  <c r="J196" i="5"/>
  <c r="J173" i="5"/>
  <c r="J55" i="5"/>
  <c r="J27" i="5"/>
  <c r="J172" i="5"/>
  <c r="J100" i="5"/>
  <c r="J91" i="5"/>
  <c r="P143" i="5"/>
  <c r="O92" i="5"/>
  <c r="M218" i="5"/>
  <c r="K13" i="5"/>
  <c r="L39" i="5"/>
  <c r="M219" i="5"/>
  <c r="P100" i="5"/>
  <c r="K91" i="5"/>
  <c r="L194" i="5"/>
  <c r="N72" i="5"/>
  <c r="O79" i="5"/>
  <c r="M149" i="5"/>
  <c r="K228" i="5"/>
  <c r="P69" i="5"/>
  <c r="M212" i="5"/>
  <c r="N15" i="5"/>
  <c r="N151" i="5"/>
  <c r="M81" i="5"/>
  <c r="M90" i="5"/>
  <c r="K131" i="5"/>
  <c r="P141" i="5"/>
  <c r="J50" i="5"/>
  <c r="P18" i="5"/>
  <c r="K145" i="5"/>
  <c r="L62" i="5"/>
  <c r="K9" i="5"/>
  <c r="N8" i="5"/>
  <c r="O152" i="5"/>
  <c r="L148" i="5"/>
  <c r="M175" i="5"/>
  <c r="P157" i="5"/>
  <c r="M146" i="5"/>
  <c r="M51" i="5"/>
  <c r="L124" i="5"/>
  <c r="N110" i="5"/>
  <c r="L136" i="5"/>
  <c r="O19" i="5"/>
  <c r="K35" i="5"/>
  <c r="L130" i="5"/>
  <c r="P167" i="5"/>
  <c r="J94" i="5"/>
  <c r="J51" i="5"/>
  <c r="J28" i="5"/>
  <c r="L8" i="5"/>
  <c r="M223" i="5"/>
  <c r="N57" i="5"/>
  <c r="P133" i="5"/>
  <c r="N9" i="5"/>
  <c r="J168" i="5"/>
  <c r="J66" i="5"/>
  <c r="J26" i="5"/>
  <c r="J11" i="5"/>
  <c r="J147" i="5"/>
  <c r="J20" i="5"/>
  <c r="J149" i="5"/>
  <c r="J5" i="5"/>
  <c r="J165" i="5"/>
  <c r="J200" i="5"/>
  <c r="J169" i="5"/>
  <c r="J65" i="5"/>
  <c r="J211" i="5"/>
  <c r="J96" i="5"/>
  <c r="O3" i="5"/>
  <c r="L64" i="5"/>
  <c r="O33" i="5"/>
  <c r="O67" i="5"/>
  <c r="P34" i="5"/>
  <c r="L44" i="5"/>
  <c r="N58" i="5"/>
  <c r="J167" i="5"/>
  <c r="J39" i="5"/>
  <c r="J207" i="5"/>
  <c r="J177" i="5"/>
  <c r="J40" i="5"/>
  <c r="J56" i="5"/>
  <c r="J195" i="5"/>
  <c r="M171" i="5"/>
  <c r="P154" i="5"/>
  <c r="J120" i="5"/>
  <c r="J61" i="5"/>
  <c r="J82" i="5"/>
  <c r="J198" i="5"/>
  <c r="J166" i="5"/>
  <c r="J101" i="5"/>
  <c r="L156" i="5"/>
  <c r="P22" i="5"/>
  <c r="J67" i="5"/>
  <c r="J125" i="5"/>
  <c r="J179" i="5"/>
  <c r="J134" i="5"/>
  <c r="J7" i="5"/>
  <c r="J178" i="5"/>
  <c r="O15" i="5"/>
  <c r="M210" i="5"/>
  <c r="J92" i="5"/>
  <c r="J174" i="5"/>
  <c r="J13" i="5"/>
  <c r="P124" i="5"/>
  <c r="J104" i="5"/>
  <c r="J48" i="5"/>
  <c r="J154" i="5"/>
  <c r="J130" i="5"/>
  <c r="J116" i="5"/>
  <c r="J216" i="5"/>
  <c r="M203" i="5"/>
  <c r="J217" i="5"/>
  <c r="J86" i="5"/>
  <c r="J175" i="5"/>
  <c r="J124" i="5"/>
  <c r="J144" i="5"/>
  <c r="J160" i="5"/>
  <c r="L178" i="5"/>
  <c r="N168" i="5"/>
  <c r="M109" i="5"/>
  <c r="O117" i="5"/>
  <c r="M106" i="5"/>
  <c r="P39" i="5"/>
  <c r="M157" i="5"/>
  <c r="M114" i="5"/>
  <c r="L29" i="5"/>
  <c r="K159" i="5"/>
  <c r="K92" i="5"/>
  <c r="K147" i="5"/>
  <c r="P10" i="5"/>
  <c r="P137" i="5"/>
  <c r="K169" i="5"/>
  <c r="M30" i="5"/>
  <c r="L211" i="5"/>
  <c r="L65" i="5"/>
  <c r="O38" i="5"/>
  <c r="N113" i="5"/>
  <c r="K109" i="5"/>
  <c r="J142" i="5"/>
  <c r="O39" i="5"/>
  <c r="K60" i="5"/>
  <c r="M87" i="5"/>
  <c r="L154" i="5"/>
  <c r="M92" i="5"/>
  <c r="N98" i="5"/>
  <c r="M71" i="5"/>
  <c r="M8" i="5"/>
  <c r="M136" i="5"/>
  <c r="N169" i="5"/>
  <c r="O64" i="5"/>
  <c r="M159" i="5"/>
  <c r="O148" i="5"/>
  <c r="K176" i="5"/>
  <c r="P170" i="5"/>
  <c r="L48" i="5"/>
  <c r="P123" i="5"/>
  <c r="J15" i="5"/>
  <c r="J74" i="5"/>
  <c r="J79" i="5"/>
  <c r="J163" i="5"/>
  <c r="P105" i="5"/>
  <c r="K93" i="5"/>
  <c r="P103" i="5"/>
  <c r="N43" i="5"/>
  <c r="J202" i="5"/>
  <c r="J23" i="5"/>
  <c r="J63" i="5"/>
  <c r="J8" i="5"/>
  <c r="J132" i="5"/>
  <c r="J133" i="5"/>
  <c r="J103" i="5"/>
  <c r="J164" i="5"/>
  <c r="J176" i="5"/>
  <c r="J34" i="5"/>
  <c r="J222" i="5"/>
  <c r="J128" i="5"/>
  <c r="J157" i="5"/>
  <c r="P132" i="5"/>
  <c r="N218" i="5"/>
  <c r="O88" i="5"/>
  <c r="P41" i="5"/>
  <c r="M58" i="5"/>
  <c r="K136" i="5"/>
  <c r="J18" i="5"/>
  <c r="J75" i="5"/>
  <c r="J126" i="5"/>
  <c r="J214" i="5"/>
  <c r="J115" i="5"/>
  <c r="J121" i="5"/>
  <c r="J143" i="5"/>
  <c r="M79" i="5"/>
  <c r="M209" i="5"/>
  <c r="J162" i="5"/>
  <c r="J95" i="5"/>
  <c r="J215" i="5"/>
  <c r="J108" i="5"/>
  <c r="J16" i="5"/>
  <c r="J159" i="5"/>
  <c r="J102" i="5"/>
  <c r="P158" i="5"/>
  <c r="K87" i="5"/>
  <c r="J83" i="5"/>
  <c r="J118" i="5"/>
  <c r="J135" i="5"/>
  <c r="J113" i="5"/>
  <c r="J30" i="5"/>
  <c r="J97" i="5"/>
  <c r="K27" i="5"/>
  <c r="N68" i="5"/>
  <c r="J114" i="5"/>
  <c r="J127" i="5"/>
  <c r="J35" i="5"/>
  <c r="J73" i="5"/>
  <c r="N215" i="5"/>
  <c r="J171" i="5"/>
  <c r="P161" i="5"/>
  <c r="J228" i="5"/>
  <c r="J123" i="5"/>
  <c r="N64" i="5"/>
  <c r="N36" i="5"/>
  <c r="P93" i="5"/>
  <c r="K222" i="5"/>
  <c r="M23" i="5"/>
  <c r="N97" i="5"/>
  <c r="O150" i="5"/>
  <c r="M15" i="5"/>
  <c r="L132" i="5"/>
  <c r="N144" i="5"/>
  <c r="K154" i="5"/>
  <c r="K69" i="5"/>
  <c r="P82" i="5"/>
  <c r="K94" i="5"/>
  <c r="L92" i="5"/>
  <c r="N210" i="5"/>
  <c r="N46" i="5"/>
  <c r="O102" i="5"/>
  <c r="P63" i="5"/>
  <c r="M177" i="5"/>
  <c r="L63" i="5"/>
  <c r="L95" i="5"/>
  <c r="M41" i="5"/>
  <c r="N49" i="5"/>
  <c r="M5" i="5"/>
  <c r="O159" i="5"/>
  <c r="O85" i="5"/>
  <c r="M63" i="5"/>
  <c r="K117" i="5"/>
  <c r="K177" i="5"/>
  <c r="O224" i="5"/>
  <c r="N92" i="5"/>
  <c r="P46" i="5"/>
  <c r="M25" i="5"/>
  <c r="J145" i="5"/>
  <c r="K170" i="5"/>
  <c r="L114" i="5"/>
  <c r="O153" i="5"/>
  <c r="J76" i="5"/>
  <c r="J110" i="5"/>
  <c r="J221" i="5"/>
  <c r="J129" i="5"/>
  <c r="J68" i="5"/>
  <c r="L80" i="5"/>
  <c r="P40" i="5"/>
  <c r="P146" i="5"/>
  <c r="L35" i="5"/>
  <c r="J194" i="5"/>
  <c r="J224" i="5"/>
  <c r="J107" i="5"/>
  <c r="J122" i="5"/>
  <c r="J161" i="5"/>
  <c r="J53" i="5"/>
  <c r="J38" i="5"/>
  <c r="J87" i="5"/>
  <c r="J57" i="5"/>
  <c r="J218" i="5"/>
  <c r="J85" i="5"/>
  <c r="J213" i="5"/>
  <c r="J72" i="5"/>
  <c r="J146" i="5"/>
  <c r="O203" i="5"/>
  <c r="L43" i="5"/>
  <c r="O201" i="5"/>
  <c r="K39" i="5"/>
  <c r="L134" i="5"/>
  <c r="M20" i="5"/>
  <c r="L45" i="5"/>
  <c r="J170" i="5"/>
  <c r="J71" i="5"/>
  <c r="J136" i="5"/>
  <c r="J43" i="5"/>
  <c r="J14" i="5"/>
  <c r="J226" i="5"/>
  <c r="J4" i="5"/>
  <c r="M172" i="5"/>
  <c r="K125" i="5"/>
  <c r="J138" i="5"/>
  <c r="J227" i="5"/>
  <c r="P112" i="5"/>
  <c r="J58" i="5"/>
  <c r="O69" i="5"/>
  <c r="J99" i="5"/>
  <c r="C20" i="4"/>
  <c r="C10" i="4"/>
  <c r="E36" i="4"/>
  <c r="C11" i="4"/>
  <c r="C24" i="4"/>
  <c r="E25" i="4"/>
  <c r="C30" i="4"/>
  <c r="C36" i="4"/>
  <c r="C15" i="4"/>
  <c r="E29" i="4"/>
  <c r="C27" i="4"/>
  <c r="C9" i="4"/>
  <c r="E16" i="4"/>
  <c r="E43" i="4"/>
  <c r="E30" i="4"/>
  <c r="C18" i="4"/>
  <c r="E37" i="4"/>
  <c r="C43" i="4"/>
  <c r="C29" i="4"/>
  <c r="E15" i="4"/>
  <c r="E6" i="4"/>
  <c r="C32" i="4"/>
  <c r="E26" i="4"/>
  <c r="E9" i="4"/>
  <c r="C25" i="4"/>
  <c r="C8" i="4"/>
  <c r="E17" i="4"/>
  <c r="E27" i="4"/>
  <c r="C31" i="4"/>
  <c r="C12" i="4"/>
  <c r="C41" i="4"/>
  <c r="E13" i="4"/>
  <c r="C38" i="4"/>
  <c r="C23" i="4"/>
  <c r="E31" i="4"/>
  <c r="C6" i="4"/>
  <c r="E14" i="4"/>
  <c r="C34" i="4"/>
  <c r="E35" i="4"/>
  <c r="E20" i="4"/>
  <c r="C22" i="4"/>
  <c r="C17" i="4"/>
  <c r="E41" i="4"/>
  <c r="E32" i="4"/>
  <c r="E33" i="4"/>
  <c r="C5" i="4"/>
  <c r="C33" i="4"/>
  <c r="E39" i="4"/>
  <c r="E22" i="4"/>
  <c r="E7" i="4"/>
  <c r="C40" i="4"/>
  <c r="C16" i="4"/>
  <c r="C37" i="4"/>
  <c r="E5" i="4"/>
  <c r="C42" i="4"/>
  <c r="C39" i="4"/>
  <c r="E34" i="4"/>
  <c r="E28" i="4"/>
  <c r="E11" i="4"/>
  <c r="E42" i="4"/>
  <c r="C13" i="4"/>
  <c r="E24" i="4"/>
  <c r="E23" i="4"/>
  <c r="E10" i="4"/>
  <c r="E18" i="4"/>
  <c r="E38" i="4"/>
  <c r="E40" i="4"/>
  <c r="E12" i="4"/>
  <c r="E19" i="4"/>
  <c r="E4" i="4"/>
  <c r="C4" i="4"/>
  <c r="C7" i="4"/>
  <c r="E8" i="4"/>
  <c r="I198" i="5" l="1"/>
  <c r="I225" i="5"/>
  <c r="I86" i="5"/>
  <c r="I62" i="5"/>
  <c r="I72" i="5"/>
  <c r="I5" i="5"/>
  <c r="I157" i="5"/>
  <c r="I128" i="5"/>
  <c r="I18" i="5"/>
  <c r="I200" i="5"/>
  <c r="I173" i="5"/>
  <c r="I205" i="5"/>
  <c r="I212" i="5"/>
  <c r="I213" i="5"/>
  <c r="I227" i="5"/>
  <c r="I136" i="5"/>
  <c r="I57" i="5"/>
  <c r="I194" i="5"/>
  <c r="I110" i="5"/>
  <c r="I127" i="5"/>
  <c r="I118" i="5"/>
  <c r="I215" i="5"/>
  <c r="I214" i="5"/>
  <c r="I176" i="5"/>
  <c r="I202" i="5"/>
  <c r="I74" i="5"/>
  <c r="I178" i="5"/>
  <c r="I101" i="5"/>
  <c r="I211" i="5"/>
  <c r="I147" i="5"/>
  <c r="I50" i="5"/>
  <c r="I54" i="5"/>
  <c r="I197" i="5"/>
  <c r="I33" i="5"/>
  <c r="I119" i="5"/>
  <c r="I109" i="5"/>
  <c r="I140" i="5"/>
  <c r="I139" i="5"/>
  <c r="I53" i="5"/>
  <c r="I133" i="5"/>
  <c r="I82" i="5"/>
  <c r="I51" i="5"/>
  <c r="I84" i="5"/>
  <c r="I165" i="5"/>
  <c r="I44" i="5"/>
  <c r="I148" i="5"/>
  <c r="I13" i="5"/>
  <c r="I131" i="5"/>
  <c r="I153" i="5"/>
  <c r="I81" i="5"/>
  <c r="I179" i="5"/>
  <c r="I66" i="5"/>
  <c r="I52" i="5"/>
  <c r="I94" i="5"/>
  <c r="I155" i="5"/>
  <c r="I48" i="5"/>
  <c r="I172" i="5"/>
  <c r="I158" i="5"/>
  <c r="I22" i="5"/>
  <c r="I150" i="5"/>
  <c r="I111" i="5"/>
  <c r="I138" i="5"/>
  <c r="I71" i="5"/>
  <c r="I87" i="5"/>
  <c r="I76" i="5"/>
  <c r="I123" i="5"/>
  <c r="I114" i="5"/>
  <c r="I83" i="5"/>
  <c r="I95" i="5"/>
  <c r="I126" i="5"/>
  <c r="I164" i="5"/>
  <c r="I15" i="5"/>
  <c r="I104" i="5"/>
  <c r="I7" i="5"/>
  <c r="I166" i="5"/>
  <c r="I195" i="5"/>
  <c r="I65" i="5"/>
  <c r="I11" i="5"/>
  <c r="I27" i="5"/>
  <c r="I93" i="5"/>
  <c r="I152" i="5"/>
  <c r="I77" i="5"/>
  <c r="I25" i="5"/>
  <c r="I141" i="5"/>
  <c r="I201" i="5"/>
  <c r="I17" i="5"/>
  <c r="I112" i="5"/>
  <c r="I105" i="5"/>
  <c r="I151" i="5"/>
  <c r="I170" i="5"/>
  <c r="I38" i="5"/>
  <c r="I228" i="5"/>
  <c r="I162" i="5"/>
  <c r="I75" i="5"/>
  <c r="I103" i="5"/>
  <c r="I160" i="5"/>
  <c r="I217" i="5"/>
  <c r="I134" i="5"/>
  <c r="I56" i="5"/>
  <c r="I169" i="5"/>
  <c r="I26" i="5"/>
  <c r="I28" i="5"/>
  <c r="I55" i="5"/>
  <c r="I203" i="5"/>
  <c r="I78" i="5"/>
  <c r="I12" i="5"/>
  <c r="I229" i="5"/>
  <c r="I69" i="5"/>
  <c r="I40" i="5"/>
  <c r="I10" i="5"/>
  <c r="I90" i="5"/>
  <c r="I6" i="5"/>
  <c r="I4" i="5"/>
  <c r="I174" i="5"/>
  <c r="I61" i="5"/>
  <c r="I177" i="5"/>
  <c r="I168" i="5"/>
  <c r="I156" i="5"/>
  <c r="I226" i="5"/>
  <c r="I68" i="5"/>
  <c r="I159" i="5"/>
  <c r="I222" i="5"/>
  <c r="I144" i="5"/>
  <c r="I92" i="5"/>
  <c r="I207" i="5"/>
  <c r="I64" i="5"/>
  <c r="I37" i="5"/>
  <c r="I137" i="5"/>
  <c r="I204" i="5"/>
  <c r="I58" i="5"/>
  <c r="I14" i="5"/>
  <c r="I85" i="5"/>
  <c r="I107" i="5"/>
  <c r="I129" i="5"/>
  <c r="I73" i="5"/>
  <c r="I113" i="5"/>
  <c r="I16" i="5"/>
  <c r="I121" i="5"/>
  <c r="I34" i="5"/>
  <c r="I63" i="5"/>
  <c r="I163" i="5"/>
  <c r="I124" i="5"/>
  <c r="I130" i="5"/>
  <c r="I39" i="5"/>
  <c r="I149" i="5"/>
  <c r="I91" i="5"/>
  <c r="I223" i="5"/>
  <c r="I60" i="5"/>
  <c r="I29" i="5"/>
  <c r="I206" i="5"/>
  <c r="I88" i="5"/>
  <c r="I210" i="5"/>
  <c r="I89" i="5"/>
  <c r="I21" i="5"/>
  <c r="I47" i="5"/>
  <c r="I19" i="5"/>
  <c r="I146" i="5"/>
  <c r="I99" i="5"/>
  <c r="I161" i="5"/>
  <c r="I171" i="5"/>
  <c r="I97" i="5"/>
  <c r="I102" i="5"/>
  <c r="I132" i="5"/>
  <c r="I142" i="5"/>
  <c r="I216" i="5"/>
  <c r="I125" i="5"/>
  <c r="I196" i="5"/>
  <c r="I46" i="5"/>
  <c r="I98" i="5"/>
  <c r="I36" i="5"/>
  <c r="I41" i="5"/>
  <c r="I42" i="5"/>
  <c r="I122" i="5"/>
  <c r="I145" i="5"/>
  <c r="I30" i="5"/>
  <c r="I143" i="5"/>
  <c r="I8" i="5"/>
  <c r="I116" i="5"/>
  <c r="I67" i="5"/>
  <c r="I120" i="5"/>
  <c r="I31" i="5"/>
  <c r="I220" i="5"/>
  <c r="I219" i="5"/>
  <c r="I208" i="5"/>
  <c r="I49" i="5"/>
  <c r="I43" i="5"/>
  <c r="I218" i="5"/>
  <c r="I224" i="5"/>
  <c r="I221" i="5"/>
  <c r="I35" i="5"/>
  <c r="I135" i="5"/>
  <c r="I108" i="5"/>
  <c r="I115" i="5"/>
  <c r="I23" i="5"/>
  <c r="I79" i="5"/>
  <c r="I175" i="5"/>
  <c r="I154" i="5"/>
  <c r="I167" i="5"/>
  <c r="I96" i="5"/>
  <c r="I20" i="5"/>
  <c r="I100" i="5"/>
  <c r="I106" i="5"/>
  <c r="I59" i="5"/>
  <c r="I45" i="5"/>
  <c r="I80" i="5"/>
  <c r="I24" i="5"/>
  <c r="I70" i="5"/>
  <c r="I9" i="5"/>
  <c r="I117" i="5"/>
  <c r="I32" i="5"/>
  <c r="I209" i="5"/>
  <c r="I3" i="5"/>
  <c r="C19" i="4"/>
  <c r="C26" i="4"/>
  <c r="C35" i="4"/>
  <c r="C21" i="4"/>
  <c r="C14" i="4"/>
  <c r="C28" i="4"/>
  <c r="D25" i="4" l="1"/>
  <c r="B25" i="4" s="1"/>
  <c r="D21" i="4"/>
  <c r="B21" i="4" s="1"/>
  <c r="D16" i="4"/>
  <c r="B16" i="4" s="1"/>
  <c r="D23" i="4"/>
  <c r="B23" i="4" s="1"/>
  <c r="D7" i="4"/>
  <c r="B7" i="4" s="1"/>
  <c r="D31" i="4"/>
  <c r="B31" i="4" s="1"/>
  <c r="D43" i="4"/>
  <c r="B43" i="4" s="1"/>
  <c r="D29" i="4"/>
  <c r="B29" i="4" s="1"/>
  <c r="D17" i="4"/>
  <c r="B17" i="4" s="1"/>
  <c r="D34" i="4"/>
  <c r="B34" i="4" s="1"/>
  <c r="D38" i="4"/>
  <c r="B38" i="4" s="1"/>
  <c r="D22" i="4"/>
  <c r="B22" i="4" s="1"/>
  <c r="D4" i="4"/>
  <c r="B4" i="4" s="1"/>
  <c r="D14" i="4"/>
  <c r="B14" i="4" s="1"/>
  <c r="D39" i="4"/>
  <c r="B39" i="4" s="1"/>
  <c r="D8" i="4"/>
  <c r="B8" i="4" s="1"/>
  <c r="D37" i="4"/>
  <c r="B37" i="4" s="1"/>
  <c r="D20" i="4"/>
  <c r="B20" i="4" s="1"/>
  <c r="D11" i="4"/>
  <c r="B11" i="4" s="1"/>
  <c r="D40" i="4"/>
  <c r="B40" i="4" s="1"/>
  <c r="D33" i="4"/>
  <c r="B33" i="4" s="1"/>
  <c r="D26" i="4"/>
  <c r="B26" i="4" s="1"/>
  <c r="D41" i="4"/>
  <c r="B41" i="4" s="1"/>
  <c r="D32" i="4"/>
  <c r="B32" i="4" s="1"/>
  <c r="D28" i="4"/>
  <c r="B28" i="4" s="1"/>
  <c r="D15" i="4"/>
  <c r="B15" i="4" s="1"/>
  <c r="D9" i="4"/>
  <c r="B9" i="4" s="1"/>
  <c r="D42" i="4"/>
  <c r="B42" i="4" s="1"/>
  <c r="D10" i="4"/>
  <c r="B10" i="4" s="1"/>
  <c r="D12" i="4"/>
  <c r="B12" i="4" s="1"/>
  <c r="D24" i="4"/>
  <c r="B24" i="4" s="1"/>
  <c r="D27" i="4"/>
  <c r="B27" i="4" s="1"/>
  <c r="D6" i="4"/>
  <c r="B6" i="4" s="1"/>
  <c r="D35" i="4"/>
  <c r="B35" i="4" s="1"/>
  <c r="D18" i="4"/>
  <c r="B18" i="4" s="1"/>
  <c r="D5" i="4"/>
  <c r="B5" i="4" s="1"/>
  <c r="D19" i="4"/>
  <c r="B19" i="4" s="1"/>
  <c r="D30" i="4"/>
  <c r="B30" i="4" s="1"/>
  <c r="D36" i="4"/>
  <c r="B36" i="4" s="1"/>
  <c r="D13" i="4"/>
  <c r="B13" i="4" s="1"/>
</calcChain>
</file>

<file path=xl/sharedStrings.xml><?xml version="1.0" encoding="utf-8"?>
<sst xmlns="http://schemas.openxmlformats.org/spreadsheetml/2006/main" count="2350" uniqueCount="1260">
  <si>
    <t>製品名</t>
  </si>
  <si>
    <t>会社名</t>
  </si>
  <si>
    <t>一単位</t>
  </si>
  <si>
    <t>液量</t>
  </si>
  <si>
    <t>Na</t>
  </si>
  <si>
    <t>K</t>
  </si>
  <si>
    <t>Cl</t>
  </si>
  <si>
    <t>SO4</t>
  </si>
  <si>
    <t>HCO3</t>
  </si>
  <si>
    <t>P</t>
  </si>
  <si>
    <t>Zn</t>
  </si>
  <si>
    <t>Glu</t>
  </si>
  <si>
    <t>Mal</t>
  </si>
  <si>
    <t>Xyl</t>
  </si>
  <si>
    <t>Sor</t>
  </si>
  <si>
    <t>fru</t>
  </si>
  <si>
    <t>糖質</t>
  </si>
  <si>
    <t>脂質</t>
  </si>
  <si>
    <t>脂肪濃度</t>
  </si>
  <si>
    <t>総遊離アミノ酸量</t>
  </si>
  <si>
    <t>総熱量</t>
  </si>
  <si>
    <t>ロイシン</t>
  </si>
  <si>
    <t>イソロイシン</t>
  </si>
  <si>
    <t>バリン</t>
  </si>
  <si>
    <t>リシン</t>
  </si>
  <si>
    <t>トレオニン</t>
  </si>
  <si>
    <t>トリプトファン</t>
  </si>
  <si>
    <t>メチオニン</t>
  </si>
  <si>
    <t>フェニルアラニン</t>
  </si>
  <si>
    <t>システイン</t>
  </si>
  <si>
    <t>シスチン</t>
  </si>
  <si>
    <t>チロシン</t>
  </si>
  <si>
    <t>ヒスチジン</t>
  </si>
  <si>
    <t>アルギニン</t>
  </si>
  <si>
    <t>アラニン</t>
  </si>
  <si>
    <t>プロリン</t>
  </si>
  <si>
    <t>セリン</t>
  </si>
  <si>
    <t>グリシン</t>
  </si>
  <si>
    <t>アスパラギン酸</t>
  </si>
  <si>
    <t>グルタミン酸</t>
  </si>
  <si>
    <t>タウリン</t>
  </si>
  <si>
    <t>E/N比</t>
  </si>
  <si>
    <t>総窒素含有量</t>
  </si>
  <si>
    <t>分岐鎖アミノ酸 含有率</t>
  </si>
  <si>
    <t>ビタミンB1</t>
  </si>
  <si>
    <t>ビタミンB2</t>
  </si>
  <si>
    <t>ビタミンB6</t>
  </si>
  <si>
    <t>ビタミンB12</t>
  </si>
  <si>
    <t>ナイアシン</t>
  </si>
  <si>
    <t>パントテン酸</t>
  </si>
  <si>
    <t>葉酸</t>
  </si>
  <si>
    <t>ビオチン</t>
  </si>
  <si>
    <t>ビタミンC</t>
  </si>
  <si>
    <t>ビタミンA</t>
  </si>
  <si>
    <t>ビタミンD</t>
  </si>
  <si>
    <t>ビタミンE</t>
  </si>
  <si>
    <t>ビタミンK</t>
  </si>
  <si>
    <t>Fe</t>
  </si>
  <si>
    <t>Mn</t>
  </si>
  <si>
    <t>Cu</t>
  </si>
  <si>
    <t>I</t>
  </si>
  <si>
    <t>デキストラン</t>
  </si>
  <si>
    <t>ヒドロキシエチルデンプン</t>
  </si>
  <si>
    <t>pH</t>
  </si>
  <si>
    <t>備考</t>
  </si>
  <si>
    <t>単位</t>
  </si>
  <si>
    <t>ml</t>
  </si>
  <si>
    <t>mEq</t>
  </si>
  <si>
    <t>mmol</t>
  </si>
  <si>
    <t>g</t>
  </si>
  <si>
    <t>kcal</t>
  </si>
  <si>
    <t>%</t>
  </si>
  <si>
    <t>IU</t>
  </si>
  <si>
    <t>µg</t>
  </si>
  <si>
    <t>mg</t>
  </si>
  <si>
    <t>ブドウ糖5%</t>
  </si>
  <si>
    <t>各社</t>
  </si>
  <si>
    <t>3.5～6.5</t>
  </si>
  <si>
    <t>約1</t>
  </si>
  <si>
    <t>ブドウ糖10%</t>
  </si>
  <si>
    <t>約2</t>
  </si>
  <si>
    <t>ブドウ糖20%</t>
  </si>
  <si>
    <t>約4</t>
  </si>
  <si>
    <t>ブドウ糖30%</t>
  </si>
  <si>
    <t>約6</t>
  </si>
  <si>
    <t>ブドウ糖50%</t>
  </si>
  <si>
    <t>約12</t>
  </si>
  <si>
    <t>ブドウ糖70%</t>
  </si>
  <si>
    <t>約15</t>
  </si>
  <si>
    <t>マルトース(果糖)10%</t>
  </si>
  <si>
    <t>4.0～6.0</t>
  </si>
  <si>
    <t>キシリトール5%</t>
  </si>
  <si>
    <t>4.5～7.5</t>
  </si>
  <si>
    <t>生理食塩水</t>
  </si>
  <si>
    <t>4.5～8.0</t>
  </si>
  <si>
    <t>リンゲル液</t>
  </si>
  <si>
    <t>大塚製薬工場</t>
  </si>
  <si>
    <t>5.0～7.5</t>
  </si>
  <si>
    <t>ハルトマン液「コバヤシ」</t>
  </si>
  <si>
    <t>共和クリティケア</t>
  </si>
  <si>
    <t>6.0～7.5</t>
  </si>
  <si>
    <t>0.7～1.1</t>
  </si>
  <si>
    <t>ハルトマンD液「小林」</t>
  </si>
  <si>
    <t>4.1～4.9</t>
  </si>
  <si>
    <t>1.8～2.2</t>
  </si>
  <si>
    <t>ラクテック注</t>
  </si>
  <si>
    <t>約0.9</t>
  </si>
  <si>
    <t>ラクテックD輸液</t>
  </si>
  <si>
    <t>ラクテックG輸液</t>
  </si>
  <si>
    <t>6.0～8.5</t>
  </si>
  <si>
    <t>ポタコールR輸液</t>
  </si>
  <si>
    <t>約1.5</t>
  </si>
  <si>
    <t>ソルラクト輸液</t>
  </si>
  <si>
    <t>テルモ</t>
  </si>
  <si>
    <t>ソルラクトD輸液</t>
  </si>
  <si>
    <t>4.5～7.0</t>
  </si>
  <si>
    <t>ソルラクトS輸液</t>
  </si>
  <si>
    <t>ソルラクトTMR輸液</t>
  </si>
  <si>
    <t>ハルトマン輸液「NP」</t>
  </si>
  <si>
    <t>ニプロ</t>
  </si>
  <si>
    <t>ハルトマン輸液pH8「NP」</t>
  </si>
  <si>
    <t>7.8～8.2</t>
  </si>
  <si>
    <t>ラクトリンゲル液"フソー"</t>
  </si>
  <si>
    <t>扶桑薬品工業</t>
  </si>
  <si>
    <t>0.8～1.0</t>
  </si>
  <si>
    <t>ラクトリンゲルM注「フソー」</t>
  </si>
  <si>
    <t>4.5～6.0</t>
  </si>
  <si>
    <t>1.4～1.5</t>
  </si>
  <si>
    <t>ラクトリンゲルS注「フソー」</t>
  </si>
  <si>
    <t>5.5～6.5</t>
  </si>
  <si>
    <t>1.8～2.0</t>
  </si>
  <si>
    <t>ニソリM注</t>
  </si>
  <si>
    <t>マイラン製薬＝ファイザー</t>
  </si>
  <si>
    <t>ニソリ・S注</t>
  </si>
  <si>
    <t>1.5～2.4</t>
  </si>
  <si>
    <t>ニソリ輸液</t>
  </si>
  <si>
    <t>6.5～7.5</t>
  </si>
  <si>
    <t>0.5～1.4</t>
  </si>
  <si>
    <t>ソリューゲンF注</t>
  </si>
  <si>
    <t>共和クリティケア＝ニプロ＝光製薬</t>
  </si>
  <si>
    <t>ソリューゲンG注</t>
  </si>
  <si>
    <t>共和クリティケア＝ニプロ</t>
  </si>
  <si>
    <t>4.0～6.5</t>
  </si>
  <si>
    <t>1.8～2.1</t>
  </si>
  <si>
    <t>リナセートD輸液</t>
  </si>
  <si>
    <t>エイワイファーマ=陽進堂</t>
  </si>
  <si>
    <t>リナセートF輸液</t>
  </si>
  <si>
    <t>フィジオ140輸液</t>
  </si>
  <si>
    <t>5.9～6.2</t>
  </si>
  <si>
    <t>ヴィーンF輸液</t>
  </si>
  <si>
    <t>ヴィーンD輸液</t>
  </si>
  <si>
    <t>ソルアセトD輸液</t>
  </si>
  <si>
    <t>ソルアセトF輸液</t>
  </si>
  <si>
    <t>光製薬</t>
  </si>
  <si>
    <t>ペロール注</t>
  </si>
  <si>
    <t>ビカーボン輸液</t>
  </si>
  <si>
    <t>エイワイファーマ＝陽進堂</t>
  </si>
  <si>
    <t>6.8～7.8</t>
  </si>
  <si>
    <t>0.9～1.0</t>
  </si>
  <si>
    <t>ビカネイト輸液</t>
  </si>
  <si>
    <t>ソリタT1号輸液</t>
  </si>
  <si>
    <t>YDソリタT1号輸液</t>
  </si>
  <si>
    <t>陽進堂</t>
  </si>
  <si>
    <t>KN1号輸液</t>
  </si>
  <si>
    <t>4.0～7.5</t>
  </si>
  <si>
    <t>デノサリン1輸液</t>
  </si>
  <si>
    <t>3.5～6.0</t>
  </si>
  <si>
    <t>ソルデム1輸液</t>
  </si>
  <si>
    <t>リプラス1号輸液</t>
  </si>
  <si>
    <t>4.5～5.5</t>
  </si>
  <si>
    <t>1.0～1.2</t>
  </si>
  <si>
    <t>ソリタT2号輸液</t>
  </si>
  <si>
    <t>KN2号輸液</t>
  </si>
  <si>
    <t>ソルデム2輸液</t>
  </si>
  <si>
    <t>アセトキープ3G注</t>
  </si>
  <si>
    <t>4.3～6.3</t>
  </si>
  <si>
    <t>1.3～1.7</t>
  </si>
  <si>
    <t>エスロンB注</t>
  </si>
  <si>
    <t>クリニザルツ輸液</t>
  </si>
  <si>
    <t>5.0～6.5</t>
  </si>
  <si>
    <t>1.5～1.8</t>
  </si>
  <si>
    <t>グルアセト35注</t>
  </si>
  <si>
    <t>4.7～5.3</t>
  </si>
  <si>
    <t>2.4～2.8</t>
  </si>
  <si>
    <t>ハルトマンG3号輸液</t>
  </si>
  <si>
    <t>1.0～1.6</t>
  </si>
  <si>
    <t>ソリタT3号輸液</t>
  </si>
  <si>
    <t>ソリタT3号G輸液</t>
  </si>
  <si>
    <t>EL3号輸液</t>
  </si>
  <si>
    <t>10%EL3号輸液</t>
  </si>
  <si>
    <t>約3</t>
  </si>
  <si>
    <t>ソリタックスH輸液</t>
  </si>
  <si>
    <t>5.7～6.5</t>
  </si>
  <si>
    <t>YDソリタT3号輸液</t>
  </si>
  <si>
    <t>YDソリタT3号G輸液</t>
  </si>
  <si>
    <t>KN3号輸液</t>
  </si>
  <si>
    <t>KNMG3号輸液</t>
  </si>
  <si>
    <t>3.5～7.0</t>
  </si>
  <si>
    <t>フィジオゾール3号輸液</t>
  </si>
  <si>
    <t>4.0～5.2</t>
  </si>
  <si>
    <t>約2～3</t>
  </si>
  <si>
    <t>フィジオ35輸液</t>
  </si>
  <si>
    <t>トリフリード輸液</t>
  </si>
  <si>
    <t>GFX</t>
  </si>
  <si>
    <t>約2.6</t>
  </si>
  <si>
    <t>フルクトラクト注</t>
  </si>
  <si>
    <t>Fru</t>
  </si>
  <si>
    <t>ソルデム3輸液</t>
  </si>
  <si>
    <t>ソルデム3A輸液</t>
  </si>
  <si>
    <t>ソルデム3AG輸液</t>
  </si>
  <si>
    <t>ソルデム3PG輸液</t>
  </si>
  <si>
    <t>ソルマルト輸液</t>
  </si>
  <si>
    <t>ヒシナルク3号輸液</t>
  </si>
  <si>
    <t>ユエキンキープ輸液</t>
  </si>
  <si>
    <t>5.0～7.0</t>
  </si>
  <si>
    <t>アセテート維持液3G「HK」</t>
  </si>
  <si>
    <t>1.4～1.6</t>
  </si>
  <si>
    <t>アクマルト輸液</t>
  </si>
  <si>
    <t>アクチット輸液</t>
  </si>
  <si>
    <t>ヴィーン3G輸液</t>
  </si>
  <si>
    <t>リプラス3号輸液</t>
  </si>
  <si>
    <t>アルトフェッド注射液</t>
  </si>
  <si>
    <t>アステマリン3号MG輸液</t>
  </si>
  <si>
    <t>2.0～2.9</t>
  </si>
  <si>
    <t>ペンライブ注</t>
  </si>
  <si>
    <t>ソリタT4号輸液</t>
  </si>
  <si>
    <t>KN4号輸液</t>
  </si>
  <si>
    <t>ソルデム6輸液</t>
  </si>
  <si>
    <t>フィジオ70輸液</t>
  </si>
  <si>
    <t>モリプロンF輸液</t>
  </si>
  <si>
    <t>Na&lt;0.3、(Lリシン酢酸塩:2.480)</t>
  </si>
  <si>
    <t>アミニック輸液</t>
  </si>
  <si>
    <t>Na&lt;0.58、(Lリシン酢酸塩:2.000)</t>
  </si>
  <si>
    <t>モリアミンS注</t>
  </si>
  <si>
    <t>5.5～7.0</t>
  </si>
  <si>
    <t>(Lリシン塩酸塩:4.460)、(添加物として、Lシステイン塩酸塩水和物: 0.110)、(Lヒスチジン塩酸塩水和物:0.800)、(Lアルギニン塩酸塩: 1.600)</t>
  </si>
  <si>
    <t>アミパレン輸液</t>
  </si>
  <si>
    <t>(Lリシン酢酸塩:5.92)</t>
  </si>
  <si>
    <t>アミゼットB輸液</t>
  </si>
  <si>
    <t>6.1～7.1</t>
  </si>
  <si>
    <t>(リンゴ酸リジン: 2.432)、(リンゴ酸システイン:0.310)</t>
  </si>
  <si>
    <t>プロテアミン12注射液</t>
  </si>
  <si>
    <t>5.7～6.7</t>
  </si>
  <si>
    <t>約5</t>
  </si>
  <si>
    <t>(Lリシン塩酸塩:1.960)、(Lヒスチジン塩酸塩水和物:1.412)、(Lアルギニン塩酸塩: 2.976)</t>
  </si>
  <si>
    <t>ネオアミユー輸液</t>
  </si>
  <si>
    <t>エイワイファーマ＝ 陽進堂</t>
  </si>
  <si>
    <t>6.6～7.6</t>
  </si>
  <si>
    <t>(Lリシン酢酸塩:1.4)、(添加物として)</t>
  </si>
  <si>
    <t>キドミン輸液</t>
  </si>
  <si>
    <t>(Lリシン酢酸塩: 2.13)</t>
  </si>
  <si>
    <t>モリヘパミン点滴静注</t>
  </si>
  <si>
    <t>エイワイファーマ=EAファーマ</t>
  </si>
  <si>
    <t>(Lリシン酢酸塩:1.975)、(添加物として)</t>
  </si>
  <si>
    <t>アミノレバン点滴静注</t>
  </si>
  <si>
    <t>(L リシン塩酸塩:3.80)、(Lシステイン塩酸塩水和物:0.20)、(Lヒスチジン塩酸塩水和物: 1.60)、(Lアルギニン塩酸塩: 3.65)</t>
  </si>
  <si>
    <t>テルフィス点滴静注</t>
  </si>
  <si>
    <t>5.9～6.9</t>
  </si>
  <si>
    <t>(Lリシン塩酸塩:3.80)、(Lシステイン塩酸塩水和物: 0.20)、(Lヒスチジン塩酸塩水和物: 1.60)、(Lアルギニン塩酸塩: 3.65)</t>
  </si>
  <si>
    <t>ヒカリレバン注</t>
  </si>
  <si>
    <t>(Lリシン塩酸塩:3.80)、(Lシステイン塩酸塩水和物:0.20)、(Lヒスチジン塩酸塩水和物: 1.60)、(Lアルギニン塩酸塩: 3.65)</t>
  </si>
  <si>
    <t>プレアミンP注射液</t>
  </si>
  <si>
    <t>2.3～2.8</t>
  </si>
  <si>
    <t>(Lﾘｼﾝ酢酸塩: 1.354)</t>
  </si>
  <si>
    <t>ツインパル輸液</t>
  </si>
  <si>
    <t>約6.9</t>
  </si>
  <si>
    <t>(Lリシン塩酸塩:3.930)</t>
  </si>
  <si>
    <t>パレセーフ輸液</t>
  </si>
  <si>
    <t>約6.7</t>
  </si>
  <si>
    <t>(Lリシン塩酸塩:1.965)</t>
  </si>
  <si>
    <t>プラスアミノ輸液</t>
  </si>
  <si>
    <t>(Lリシン塩酸塩:3.10)、（NアセチルLトリプトファン:0.35）</t>
  </si>
  <si>
    <t>アミノフリード輸液</t>
  </si>
  <si>
    <t>ビーフリード輸液</t>
  </si>
  <si>
    <t>(Lリシン塩酸塩:3.930)、(ｱｾﾁﾙｼｽﾃｲﾝ:0.404)</t>
  </si>
  <si>
    <t>アミカリック輸液</t>
  </si>
  <si>
    <t>テルモ＝ 田辺三菱製薬</t>
  </si>
  <si>
    <t>4.6～5.6</t>
  </si>
  <si>
    <t>(Lリシン塩酸塩:1.375)、添加物として、Lシステイン塩酸塩水和物:0.075、(うち、Lアルギニン塩酸塩:0.950)</t>
  </si>
  <si>
    <t>アミグランド輸液</t>
  </si>
  <si>
    <t>約6.8</t>
  </si>
  <si>
    <t>(Lリシン塩酸塩: 1.965)</t>
  </si>
  <si>
    <t>パレプラス輸液</t>
  </si>
  <si>
    <t>リハビックスK1号輸液</t>
  </si>
  <si>
    <t>4.8～5.8</t>
  </si>
  <si>
    <t>リハビックスK2号輸液</t>
  </si>
  <si>
    <t>ハイカリック液‐1号</t>
  </si>
  <si>
    <t>3.5～4.5</t>
  </si>
  <si>
    <t>ハイカリック液‐2号</t>
  </si>
  <si>
    <t>ハイカリック液‐3号</t>
  </si>
  <si>
    <t>約8</t>
  </si>
  <si>
    <t>ハイカリックNCL輸液</t>
  </si>
  <si>
    <t>4.0～5.0</t>
  </si>
  <si>
    <t>ハイカリックNCN輸液</t>
  </si>
  <si>
    <t>ハイカリックNCH輸液</t>
  </si>
  <si>
    <t>ハイカリックRF輸液</t>
  </si>
  <si>
    <t>約11</t>
  </si>
  <si>
    <t>カロナリーL輸液</t>
  </si>
  <si>
    <t>カロナリーM輸液</t>
  </si>
  <si>
    <t>6.0～7.0</t>
  </si>
  <si>
    <t>カロナリーH輸液</t>
  </si>
  <si>
    <t>9.0～10.0</t>
  </si>
  <si>
    <t>ピーエヌツイン‐1号輸液</t>
  </si>
  <si>
    <t>(Lリシン酢酸塩:2.480)</t>
  </si>
  <si>
    <t>ピーエヌツイン‐2号輸液</t>
  </si>
  <si>
    <t>(Lリシン酢酸塩:3.720)</t>
  </si>
  <si>
    <t>ピーエヌツイン‐3号輸液</t>
  </si>
  <si>
    <t>約7</t>
  </si>
  <si>
    <t>(Lリシン酢酸塩:4.960)</t>
  </si>
  <si>
    <t>ネオパレン1号輸液</t>
  </si>
  <si>
    <t>約5.6</t>
  </si>
  <si>
    <t>ネオパレン2号輸液</t>
  </si>
  <si>
    <t>約5.4</t>
  </si>
  <si>
    <t>4.9～5.9</t>
  </si>
  <si>
    <t>エルネオパNF1号輸液</t>
  </si>
  <si>
    <t>約5.２</t>
  </si>
  <si>
    <t>(Lリシン酢酸塩:2.96)、VitDはコレカルシフェロールとして</t>
  </si>
  <si>
    <t>エルネオパNF2号輸液</t>
  </si>
  <si>
    <t>約5.４</t>
  </si>
  <si>
    <t>(Lリシン酢酸塩:4.44)、VitDはコレカルシフェロールとして</t>
  </si>
  <si>
    <t>ミキシッドL輸液</t>
  </si>
  <si>
    <t>(L リシン塩酸塩:3.000)、VitAはレチノールパルミチン酸エステルとして</t>
  </si>
  <si>
    <t>ミキシッドH輸液</t>
  </si>
  <si>
    <t>(Lリシン塩酸塩:3.000)、VitAはレチノールパルミチン酸エステルとして</t>
  </si>
  <si>
    <t>イントラリポス輸液10%</t>
  </si>
  <si>
    <t>6.5～8.5</t>
  </si>
  <si>
    <t>イントラリポス輸液20%</t>
  </si>
  <si>
    <t>サヴィオゾール輸液</t>
  </si>
  <si>
    <t>8.0～8.4</t>
  </si>
  <si>
    <t>低分子デキストラン糖注</t>
  </si>
  <si>
    <t>低分子デキストランL注</t>
  </si>
  <si>
    <t>サリンヘス輸液6％</t>
  </si>
  <si>
    <t>フレゼニウスカービジャパン＝大塚製薬工場</t>
  </si>
  <si>
    <t>ヘスパンダー輸液</t>
  </si>
  <si>
    <t>ボルベン輸液6％</t>
  </si>
  <si>
    <t>4.0～5.5</t>
  </si>
  <si>
    <t>糖質種類</t>
    <rPh sb="0" eb="2">
      <t>トウシツ</t>
    </rPh>
    <rPh sb="2" eb="4">
      <t>シュルイ</t>
    </rPh>
    <phoneticPr fontId="2"/>
  </si>
  <si>
    <t>単剤投与</t>
    <rPh sb="0" eb="2">
      <t>タンザイ</t>
    </rPh>
    <rPh sb="2" eb="4">
      <t>トウヨ</t>
    </rPh>
    <phoneticPr fontId="2"/>
  </si>
  <si>
    <t>製品名</t>
    <rPh sb="0" eb="3">
      <t>セイヒンメイ</t>
    </rPh>
    <phoneticPr fontId="2"/>
  </si>
  <si>
    <t>容量</t>
    <rPh sb="0" eb="2">
      <t>ヨウリョウ</t>
    </rPh>
    <phoneticPr fontId="2"/>
  </si>
  <si>
    <t>ボトル混合投与</t>
    <rPh sb="3" eb="5">
      <t>コンゴウ</t>
    </rPh>
    <rPh sb="5" eb="7">
      <t>トウヨ</t>
    </rPh>
    <phoneticPr fontId="2"/>
  </si>
  <si>
    <t>頻用薬リスト</t>
    <rPh sb="0" eb="3">
      <t>ヒンヨウヤク</t>
    </rPh>
    <phoneticPr fontId="2"/>
  </si>
  <si>
    <t>データ参照</t>
    <rPh sb="3" eb="5">
      <t>サンショウ</t>
    </rPh>
    <phoneticPr fontId="2"/>
  </si>
  <si>
    <t>容量当たり計算</t>
    <rPh sb="0" eb="2">
      <t>ヨウリョウ</t>
    </rPh>
    <rPh sb="2" eb="3">
      <t>ア</t>
    </rPh>
    <rPh sb="5" eb="7">
      <t>ケイサン</t>
    </rPh>
    <phoneticPr fontId="2"/>
  </si>
  <si>
    <t>合計</t>
    <rPh sb="0" eb="2">
      <t>ゴウケイ</t>
    </rPh>
    <phoneticPr fontId="2"/>
  </si>
  <si>
    <t>Ca</t>
    <phoneticPr fontId="2"/>
  </si>
  <si>
    <t>Mg</t>
    <phoneticPr fontId="2"/>
  </si>
  <si>
    <t>投与量</t>
    <rPh sb="0" eb="3">
      <t>トウヨリョウ</t>
    </rPh>
    <phoneticPr fontId="2"/>
  </si>
  <si>
    <t>混合投与</t>
    <rPh sb="0" eb="2">
      <t>コンゴウ</t>
    </rPh>
    <rPh sb="2" eb="4">
      <t>トウヨ</t>
    </rPh>
    <phoneticPr fontId="2"/>
  </si>
  <si>
    <t>液量</t>
    <rPh sb="0" eb="2">
      <t>エキリョウ</t>
    </rPh>
    <phoneticPr fontId="2"/>
  </si>
  <si>
    <t>総和</t>
    <rPh sb="0" eb="2">
      <t>ソウワ</t>
    </rPh>
    <phoneticPr fontId="2"/>
  </si>
  <si>
    <t>電解質補正液</t>
    <rPh sb="0" eb="3">
      <t>デンカイシツ</t>
    </rPh>
    <rPh sb="3" eb="5">
      <t>ホセイ</t>
    </rPh>
    <rPh sb="5" eb="6">
      <t>エキ</t>
    </rPh>
    <phoneticPr fontId="2"/>
  </si>
  <si>
    <t>塩化ナトリウム10%</t>
    <rPh sb="0" eb="2">
      <t>エンカ</t>
    </rPh>
    <phoneticPr fontId="2"/>
  </si>
  <si>
    <t>塩化ナトリウム1モル</t>
    <rPh sb="0" eb="2">
      <t>エンカ</t>
    </rPh>
    <phoneticPr fontId="2"/>
  </si>
  <si>
    <t>KCL補正液 (1mEq/1ml)</t>
    <rPh sb="3" eb="5">
      <t>ホセイ</t>
    </rPh>
    <rPh sb="5" eb="6">
      <t>エキ</t>
    </rPh>
    <phoneticPr fontId="2"/>
  </si>
  <si>
    <t>KCL点滴液15%</t>
    <rPh sb="3" eb="6">
      <t>テンテキエキ</t>
    </rPh>
    <phoneticPr fontId="2"/>
  </si>
  <si>
    <t>KCL補正液キット20mEq</t>
    <rPh sb="3" eb="5">
      <t>ホセイ</t>
    </rPh>
    <rPh sb="5" eb="6">
      <t>エキ</t>
    </rPh>
    <phoneticPr fontId="2"/>
  </si>
  <si>
    <t>アスパラK注10mEq</t>
    <rPh sb="5" eb="6">
      <t>チュウ</t>
    </rPh>
    <phoneticPr fontId="2"/>
  </si>
  <si>
    <t>アスパラ注射液</t>
    <rPh sb="4" eb="7">
      <t>チュウシャエキ</t>
    </rPh>
    <phoneticPr fontId="2"/>
  </si>
  <si>
    <t>硫酸Mg補正液</t>
    <rPh sb="0" eb="2">
      <t>リュウサン</t>
    </rPh>
    <rPh sb="4" eb="6">
      <t>ホセイ</t>
    </rPh>
    <rPh sb="6" eb="7">
      <t>エキ</t>
    </rPh>
    <phoneticPr fontId="2"/>
  </si>
  <si>
    <t>リン酸Na補正液 (0.5mmol/ml)</t>
    <rPh sb="2" eb="3">
      <t>サン</t>
    </rPh>
    <rPh sb="5" eb="7">
      <t>ホセイ</t>
    </rPh>
    <rPh sb="7" eb="8">
      <t>エキ</t>
    </rPh>
    <phoneticPr fontId="2"/>
  </si>
  <si>
    <t>リン酸2カリウム注</t>
    <rPh sb="2" eb="3">
      <t>サン</t>
    </rPh>
    <rPh sb="8" eb="9">
      <t>チュウ</t>
    </rPh>
    <phoneticPr fontId="2"/>
  </si>
  <si>
    <t>カルチコール注射液8.5%</t>
    <rPh sb="6" eb="9">
      <t>チュウシャエキ</t>
    </rPh>
    <phoneticPr fontId="2"/>
  </si>
  <si>
    <t>塩化Ca補正液 (1mEq/ml)</t>
    <rPh sb="0" eb="2">
      <t>エンカ</t>
    </rPh>
    <rPh sb="4" eb="6">
      <t>ホセイ</t>
    </rPh>
    <rPh sb="6" eb="7">
      <t>エキ</t>
    </rPh>
    <phoneticPr fontId="2"/>
  </si>
  <si>
    <t>大塚塩カル注2%</t>
    <rPh sb="0" eb="2">
      <t>オオツカ</t>
    </rPh>
    <rPh sb="2" eb="3">
      <t>エン</t>
    </rPh>
    <rPh sb="5" eb="6">
      <t>チュウ</t>
    </rPh>
    <phoneticPr fontId="2"/>
  </si>
  <si>
    <t>塩化アンモニウム補正液 (5mEq/ml)</t>
    <rPh sb="0" eb="2">
      <t>エンカ</t>
    </rPh>
    <rPh sb="8" eb="10">
      <t>ホセイ</t>
    </rPh>
    <rPh sb="10" eb="11">
      <t>エキ</t>
    </rPh>
    <phoneticPr fontId="2"/>
  </si>
  <si>
    <t>メイロン静注 8.4%</t>
    <rPh sb="4" eb="6">
      <t>ジョウチュウ</t>
    </rPh>
    <phoneticPr fontId="2"/>
  </si>
  <si>
    <t>メイロン静注 7%</t>
    <rPh sb="4" eb="6">
      <t>ジョウチュウ</t>
    </rPh>
    <phoneticPr fontId="2"/>
  </si>
  <si>
    <t>乳酸Na補正液 1mEq/ml</t>
    <rPh sb="0" eb="2">
      <t>ニュウサン</t>
    </rPh>
    <rPh sb="4" eb="6">
      <t>ホセイ</t>
    </rPh>
    <rPh sb="6" eb="7">
      <t>エキ</t>
    </rPh>
    <phoneticPr fontId="2"/>
  </si>
  <si>
    <t>電解質</t>
    <rPh sb="0" eb="2">
      <t>デンカイ</t>
    </rPh>
    <rPh sb="2" eb="3">
      <t>シツ</t>
    </rPh>
    <phoneticPr fontId="2"/>
  </si>
  <si>
    <t>アミノ酸</t>
    <rPh sb="3" eb="4">
      <t>サン</t>
    </rPh>
    <phoneticPr fontId="2"/>
  </si>
  <si>
    <t>(L-リシン酢酸塩:2.96)、(アセチルシステイン: 0.27)、VitAはビタミンA油として、VitDはコレカルシフェロールとして</t>
  </si>
  <si>
    <t>(L-リシン酢酸塩:4.44)、(アセチルシスティン: 0.40)、VitAはビタミンA油として、VitDはコレカルシフェロールとして</t>
  </si>
  <si>
    <t>(リンゴ酸リジン:2.305+亜硫酸リジン:0.108)、(リンゴ酸システイン: 0.310)、VitAはレチノールパルミチン酸エステルとして、VitDはエルゴカルシフェロールとして</t>
  </si>
  <si>
    <t>(リンゴ酸リジン:3.4575+亜硫酸リジン:0.162)、(リンゴ酸システイン:0.465)、VitAはレチノールパルミチン酸エステルとして、VitDはエルゴカルシフェロールとして</t>
  </si>
  <si>
    <t>(リンゴ酸リジン:3.521+亜硫酸リジン:0.108)、(リンゴ酸システイン: 0.465)、VitAはレチノールパルミチン酸エステルとして、VitDはエルゴカルシフェロールとして</t>
  </si>
  <si>
    <t>(リンゴ酸リジン:5.2815+亜硫酸リジン0.162)、(リンゴ酸システイン:0.6975)、VitAはレチノールパルミチン酸エステルとして、VitDはエルゴカルシフェロールとして</t>
  </si>
  <si>
    <t>(リンゴ酸リジン:4.737+亜硫酸リジン:0.108)、(リンゴ酸システイン: 0.620)、VitAはレチノールパルミチン酸エステルとして、VitDはエルゴカルシフェロールとして</t>
  </si>
  <si>
    <t>フルカリック1号輸液 (903ml/容器)</t>
    <rPh sb="18" eb="20">
      <t>ヨウキ</t>
    </rPh>
    <phoneticPr fontId="2"/>
  </si>
  <si>
    <t>フルカリック1号輸液 (1355ml/容器)</t>
    <rPh sb="19" eb="21">
      <t>ヨウキ</t>
    </rPh>
    <phoneticPr fontId="2"/>
  </si>
  <si>
    <t>フルカリック2号輸液 (1003ml/容器)</t>
    <rPh sb="19" eb="21">
      <t>ヨウキ</t>
    </rPh>
    <phoneticPr fontId="2"/>
  </si>
  <si>
    <t>フルカリック2号輸液 (1505ml/容器)</t>
    <rPh sb="19" eb="21">
      <t>ヨウキ</t>
    </rPh>
    <phoneticPr fontId="2"/>
  </si>
  <si>
    <t>フルカリック3号輸液 (1103ml/容器)</t>
    <rPh sb="19" eb="21">
      <t>ヨウキ</t>
    </rPh>
    <phoneticPr fontId="2"/>
  </si>
  <si>
    <t>経口栄養</t>
    <rPh sb="0" eb="4">
      <t>ケイコウエイヨウ</t>
    </rPh>
    <phoneticPr fontId="2"/>
  </si>
  <si>
    <t>食塩(g)</t>
  </si>
  <si>
    <t>炭酸水素ナトリウム(重曹)(g)</t>
  </si>
  <si>
    <t>MCT oil</t>
  </si>
  <si>
    <t>水/白湯</t>
    <rPh sb="0" eb="1">
      <t>ミズ</t>
    </rPh>
    <rPh sb="2" eb="4">
      <t>サユ</t>
    </rPh>
    <phoneticPr fontId="1"/>
  </si>
  <si>
    <t>エルネオパNF1号輸液</t>
    <phoneticPr fontId="2"/>
  </si>
  <si>
    <t>ラコールNF</t>
  </si>
  <si>
    <t>ラコールNF</t>
    <phoneticPr fontId="2"/>
  </si>
  <si>
    <t>母乳</t>
  </si>
  <si>
    <t>ひらがな</t>
  </si>
  <si>
    <t>ローマ字</t>
    <rPh sb="3" eb="4">
      <t>ジ</t>
    </rPh>
    <phoneticPr fontId="3"/>
  </si>
  <si>
    <t>ひらがな2</t>
  </si>
  <si>
    <t>ローマ字2</t>
    <rPh sb="3" eb="4">
      <t>ジ</t>
    </rPh>
    <phoneticPr fontId="3"/>
  </si>
  <si>
    <t>カタカナ・漢字</t>
    <rPh sb="5" eb="7">
      <t>かんじ</t>
    </rPh>
    <phoneticPr fontId="3" type="Hiragana"/>
  </si>
  <si>
    <t>英数</t>
    <rPh sb="0" eb="2">
      <t>えいすう</t>
    </rPh>
    <phoneticPr fontId="3" type="Hiragana"/>
  </si>
  <si>
    <t>ぶどうとう５％</t>
  </si>
  <si>
    <t>ぶどうとう１０％</t>
  </si>
  <si>
    <t>ぶどうとう２０％</t>
  </si>
  <si>
    <t>ぶどうとう３０％</t>
  </si>
  <si>
    <t>ぶどうとう５０％</t>
  </si>
  <si>
    <t>ぶどうとう７０％</t>
  </si>
  <si>
    <t>まるとーす（かとう）１０％</t>
  </si>
  <si>
    <t>きしりとーる５％</t>
  </si>
  <si>
    <t>せいりしょくえんすい</t>
  </si>
  <si>
    <t>りんげるえき</t>
  </si>
  <si>
    <t>はるとまんえき「こばやし」</t>
  </si>
  <si>
    <t>はるとまんＤえき「こばやし」</t>
  </si>
  <si>
    <t>らくてっくちゅう</t>
  </si>
  <si>
    <t>らくてっくＤゆえき</t>
  </si>
  <si>
    <t>らくてっくＧゆえき</t>
  </si>
  <si>
    <t>ぽたこーるＲゆえき</t>
  </si>
  <si>
    <t>そるらくとゆえき</t>
  </si>
  <si>
    <t>そるらくとＤゆえき</t>
  </si>
  <si>
    <t>そるらくとＳゆえき</t>
  </si>
  <si>
    <t>そるらくとＴＭＲゆえき</t>
  </si>
  <si>
    <t>はるとまんゆえき「ＮＰ」</t>
  </si>
  <si>
    <t>はるとまんゆえきｐＨ８「ＮＰ」</t>
  </si>
  <si>
    <t>らくとりんげるえき”ふそー”</t>
  </si>
  <si>
    <t>らくとりんげるＭちゅう「ふそー」</t>
  </si>
  <si>
    <t>らくとりんげるＳちゅう「ふそー」</t>
  </si>
  <si>
    <t>にそりＭちゅう</t>
  </si>
  <si>
    <t>にそり・Ｓちゅう</t>
  </si>
  <si>
    <t>にそりゆえき</t>
  </si>
  <si>
    <t>そりゅーげんＦちゅう</t>
  </si>
  <si>
    <t>そりゅーげんＧちゅう</t>
  </si>
  <si>
    <t>りなせーとＤゆえき</t>
  </si>
  <si>
    <t>りなせーとＦゆえき</t>
  </si>
  <si>
    <t>ふぃじお１４０ゆえき</t>
  </si>
  <si>
    <t>そるあせとＤゆえき</t>
  </si>
  <si>
    <t>そるあせとＦゆえき</t>
  </si>
  <si>
    <t>ぺろーるちゅう</t>
  </si>
  <si>
    <t>びかーぼんゆえき</t>
  </si>
  <si>
    <t>びかねいとゆえき</t>
  </si>
  <si>
    <t>そりたＴ１ごうゆえき</t>
  </si>
  <si>
    <t>でのさりん１ゆえき</t>
  </si>
  <si>
    <t>そるでむ１ゆえき</t>
  </si>
  <si>
    <t>りぷらす１ごうゆえき</t>
  </si>
  <si>
    <t>そりたＴ２ごうゆえき</t>
  </si>
  <si>
    <t>そるでむ２ゆえき</t>
  </si>
  <si>
    <t>あせときーぷ３Ｇちゅう</t>
  </si>
  <si>
    <t>えすろんＢちゅう</t>
  </si>
  <si>
    <t>くりにざるつゆえき</t>
  </si>
  <si>
    <t>ぐるあせと３５ちゅう</t>
  </si>
  <si>
    <t>はるとまんＧ３ごうゆえき</t>
  </si>
  <si>
    <t>そりたＴ３ごうゆえき</t>
  </si>
  <si>
    <t>そりたＴ３ごうＧゆえき</t>
  </si>
  <si>
    <t>そりたっくすＨゆえき</t>
  </si>
  <si>
    <t>ふぃじおぞーる３ごうゆえき</t>
  </si>
  <si>
    <t>ふぃじお３５ゆえき</t>
  </si>
  <si>
    <t>とりふりーどゆえき</t>
  </si>
  <si>
    <t>ふるくとらくとちゅう</t>
  </si>
  <si>
    <t>そるでむ３ゆえき</t>
  </si>
  <si>
    <t>そるでむ３Ａゆえき</t>
  </si>
  <si>
    <t>そるでむ３ＡＧゆえき</t>
  </si>
  <si>
    <t>そるでむ３ＰＧゆえき</t>
  </si>
  <si>
    <t>そるまるとゆえき</t>
  </si>
  <si>
    <t>ひしなるく３ごうゆえき</t>
  </si>
  <si>
    <t>ゆえきんきーぷゆえき</t>
  </si>
  <si>
    <t>あせてーといじえき３Ｇ「ＨＫ」</t>
  </si>
  <si>
    <t>あくまるとゆえき</t>
  </si>
  <si>
    <t>あくちっとゆえき</t>
  </si>
  <si>
    <t>りぷらす３ごうゆえき</t>
  </si>
  <si>
    <t>あすてまりん３ごうＭＧゆえき</t>
  </si>
  <si>
    <t>ぺんらいぶちゅう</t>
  </si>
  <si>
    <t>そりたＴ４ごうゆえき</t>
  </si>
  <si>
    <t>そるでむ６ゆえき</t>
  </si>
  <si>
    <t>ふぃじお７０ゆえき</t>
  </si>
  <si>
    <t>もりぷろんＦゆえき</t>
  </si>
  <si>
    <t>あみにっくゆえき</t>
  </si>
  <si>
    <t>もりあみんＳちゅう</t>
  </si>
  <si>
    <t>あみぱれんゆえき</t>
  </si>
  <si>
    <t>あみぜっとＢゆえき</t>
  </si>
  <si>
    <t>ぷろてあみん１２ちゅうしゃえき</t>
  </si>
  <si>
    <t>ねおあみゆーゆえき</t>
  </si>
  <si>
    <t>きどみんゆえき</t>
  </si>
  <si>
    <t>ひかりればんちゅう</t>
  </si>
  <si>
    <t>ぷれあみんＰちゅうしゃえき</t>
  </si>
  <si>
    <t>ついんぱるゆえき</t>
  </si>
  <si>
    <t>ぱれせーふゆえき</t>
  </si>
  <si>
    <t>ぷらすあみのゆえき</t>
  </si>
  <si>
    <t>あみのふりーどゆえき</t>
  </si>
  <si>
    <t>びーふりーどゆえき</t>
  </si>
  <si>
    <t>あみかりっくゆえき</t>
  </si>
  <si>
    <t>あみぐらんどゆえき</t>
  </si>
  <si>
    <t>ぱれぷらすゆえき</t>
  </si>
  <si>
    <t>りはびっくすＫ１ごうゆえき</t>
  </si>
  <si>
    <t>りはびっくすＫ２ごうゆえき</t>
  </si>
  <si>
    <t>はいかりっくえきー１ごう</t>
  </si>
  <si>
    <t>はいかりっくえきー２ごう</t>
  </si>
  <si>
    <t>はいかりっくえきー３ごう</t>
  </si>
  <si>
    <t>はいかりっくＮＣＬゆえき</t>
  </si>
  <si>
    <t>はいかりっくＮＣＮゆえき</t>
  </si>
  <si>
    <t>はいかりっくＮＣＨゆえき</t>
  </si>
  <si>
    <t>はいかりっくＲＦゆえき</t>
  </si>
  <si>
    <t>かろなりーＬゆえき</t>
  </si>
  <si>
    <t>かろなりーＭゆえき</t>
  </si>
  <si>
    <t>かろなりーＨゆえき</t>
  </si>
  <si>
    <t>ぴーえぬついんー１ごうゆえき</t>
  </si>
  <si>
    <t>ぴーえぬついんー２ごうゆえき</t>
  </si>
  <si>
    <t>ぴーえぬついんー３ごうゆえき</t>
  </si>
  <si>
    <t>ねおぱれん１ごうゆえき</t>
  </si>
  <si>
    <t>ねおぱれん２ごうゆえき</t>
  </si>
  <si>
    <t>えるねおぱＮＦ１ごうゆえき</t>
  </si>
  <si>
    <t>えるねおぱＮＦ２ごうゆえき</t>
  </si>
  <si>
    <t>みきしっどＬゆえき</t>
  </si>
  <si>
    <t>みきしっどＨゆえき</t>
  </si>
  <si>
    <t>いんとらりぽすゆえき１０％</t>
  </si>
  <si>
    <t>いんとらりぽすゆえき２０％</t>
  </si>
  <si>
    <t>ていぶんしできすとらんとうちゅう</t>
  </si>
  <si>
    <t>ていぶんしできすとらんＬちゅう</t>
  </si>
  <si>
    <t>さりんへすゆえき６％</t>
  </si>
  <si>
    <t>へすぱんだーゆえき</t>
  </si>
  <si>
    <t>ぼるべんゆえき６％</t>
  </si>
  <si>
    <t>えんかなとりうむ１０％</t>
  </si>
  <si>
    <t>えんかなとりうむ１もる</t>
  </si>
  <si>
    <t>あすぱらちゅうしゃえき</t>
  </si>
  <si>
    <t>かるちこーるちゅうしゃえき８．５％</t>
  </si>
  <si>
    <t>しょくえん（ｇ）</t>
  </si>
  <si>
    <t>たんさんすいそなとりうむ（じゅうそう）（ｇ）</t>
  </si>
  <si>
    <t>らこーるＮＦ</t>
  </si>
  <si>
    <t>ぼにゅう</t>
  </si>
  <si>
    <t>しお</t>
    <phoneticPr fontId="2"/>
  </si>
  <si>
    <t>グルコース</t>
    <phoneticPr fontId="2"/>
  </si>
  <si>
    <t>せいしょく/生食</t>
    <phoneticPr fontId="2"/>
  </si>
  <si>
    <t>グルコン酸カルシウム</t>
    <rPh sb="4" eb="5">
      <t>サン</t>
    </rPh>
    <phoneticPr fontId="2"/>
  </si>
  <si>
    <t>塩化カリウム</t>
    <rPh sb="0" eb="2">
      <t>エンカ</t>
    </rPh>
    <phoneticPr fontId="2"/>
  </si>
  <si>
    <t>アスパラカリウム</t>
    <phoneticPr fontId="2"/>
  </si>
  <si>
    <t>リュウサンマグネシウム</t>
    <phoneticPr fontId="2"/>
  </si>
  <si>
    <t>リン酸ナトリウム</t>
    <rPh sb="2" eb="3">
      <t>サン</t>
    </rPh>
    <phoneticPr fontId="2"/>
  </si>
  <si>
    <t>塩化カルシウム</t>
    <rPh sb="0" eb="2">
      <t>エンカ</t>
    </rPh>
    <phoneticPr fontId="2"/>
  </si>
  <si>
    <t>乳酸ナトリウム</t>
    <rPh sb="0" eb="2">
      <t>ニュウサン</t>
    </rPh>
    <phoneticPr fontId="2"/>
  </si>
  <si>
    <t>shio/sio</t>
    <phoneticPr fontId="2"/>
  </si>
  <si>
    <t>score</t>
    <phoneticPr fontId="2"/>
  </si>
  <si>
    <t>細胞外液</t>
  </si>
  <si>
    <t>アミノ酸製剤</t>
  </si>
  <si>
    <t xml:space="preserve">脂肪乳剤 </t>
  </si>
  <si>
    <t xml:space="preserve">代用血漿増量剤 </t>
  </si>
  <si>
    <t>ビタミン・微量元素</t>
  </si>
  <si>
    <t>ビタミン・微量元素</t>
    <rPh sb="5" eb="7">
      <t>ビリョウ</t>
    </rPh>
    <rPh sb="7" eb="9">
      <t>ゲンソ</t>
    </rPh>
    <phoneticPr fontId="2"/>
  </si>
  <si>
    <t>電解質補正液</t>
  </si>
  <si>
    <t>経口栄養</t>
  </si>
  <si>
    <t>開始液・1号液</t>
  </si>
  <si>
    <t>開始液・1号液</t>
    <phoneticPr fontId="2"/>
  </si>
  <si>
    <t>脱水補給液・2号液</t>
  </si>
  <si>
    <t>脱水補給液・2号液</t>
    <phoneticPr fontId="2"/>
  </si>
  <si>
    <t>維持液・3号液</t>
  </si>
  <si>
    <t>維持液・3号液</t>
    <phoneticPr fontId="2"/>
  </si>
  <si>
    <t>術後回復液・4号液</t>
  </si>
  <si>
    <t>術後回復液・4号液</t>
    <phoneticPr fontId="2"/>
  </si>
  <si>
    <t>PPN・末梢静脈栄養輸液</t>
  </si>
  <si>
    <t>PPN・末梢静脈栄養輸液</t>
    <phoneticPr fontId="2"/>
  </si>
  <si>
    <t>TPN・高カロリー輸液</t>
  </si>
  <si>
    <t>TPN・高カロリー輸液</t>
    <phoneticPr fontId="2"/>
  </si>
  <si>
    <t>細胞外液</t>
    <phoneticPr fontId="2"/>
  </si>
  <si>
    <t>糖液剤</t>
  </si>
  <si>
    <t>糖液剤</t>
    <phoneticPr fontId="2"/>
  </si>
  <si>
    <t>輸液種類リスト</t>
    <rPh sb="0" eb="2">
      <t>ユエキ</t>
    </rPh>
    <rPh sb="2" eb="4">
      <t>シュルイ</t>
    </rPh>
    <phoneticPr fontId="2"/>
  </si>
  <si>
    <t>塩化ナトリウム10%</t>
  </si>
  <si>
    <t>KCL補正液 (1mEq/1ml)</t>
  </si>
  <si>
    <t>微量元素</t>
    <rPh sb="0" eb="2">
      <t>ビリョウ</t>
    </rPh>
    <rPh sb="2" eb="4">
      <t>ゲンソ</t>
    </rPh>
    <phoneticPr fontId="2"/>
  </si>
  <si>
    <t>Na</t>
    <phoneticPr fontId="2"/>
  </si>
  <si>
    <t>K</t>
    <phoneticPr fontId="2"/>
  </si>
  <si>
    <t>Cl</t>
    <phoneticPr fontId="2"/>
  </si>
  <si>
    <t>HCO3</t>
    <phoneticPr fontId="2"/>
  </si>
  <si>
    <t>Zn</t>
    <phoneticPr fontId="2"/>
  </si>
  <si>
    <t>SO4</t>
    <phoneticPr fontId="2"/>
  </si>
  <si>
    <t>P</t>
    <phoneticPr fontId="2"/>
  </si>
  <si>
    <t>ロイシン</t>
    <phoneticPr fontId="2"/>
  </si>
  <si>
    <t>イソロイシン</t>
    <phoneticPr fontId="2"/>
  </si>
  <si>
    <t>バリン</t>
    <phoneticPr fontId="2"/>
  </si>
  <si>
    <t>リシン</t>
    <phoneticPr fontId="2"/>
  </si>
  <si>
    <t>トレオニン</t>
    <phoneticPr fontId="2"/>
  </si>
  <si>
    <t>トリプトファン</t>
    <phoneticPr fontId="2"/>
  </si>
  <si>
    <t>メチオニン</t>
    <phoneticPr fontId="2"/>
  </si>
  <si>
    <t>フェニルアラニン</t>
    <phoneticPr fontId="2"/>
  </si>
  <si>
    <t>システイン</t>
    <phoneticPr fontId="2"/>
  </si>
  <si>
    <t>シスチン</t>
    <phoneticPr fontId="2"/>
  </si>
  <si>
    <t>チロシン</t>
    <phoneticPr fontId="2"/>
  </si>
  <si>
    <t>ヒスチジン</t>
    <phoneticPr fontId="2"/>
  </si>
  <si>
    <t>アルギニン</t>
    <phoneticPr fontId="2"/>
  </si>
  <si>
    <t>アラニン</t>
    <phoneticPr fontId="2"/>
  </si>
  <si>
    <t>プロリン</t>
    <phoneticPr fontId="2"/>
  </si>
  <si>
    <t>セリン</t>
    <phoneticPr fontId="2"/>
  </si>
  <si>
    <t>グリシン</t>
    <phoneticPr fontId="2"/>
  </si>
  <si>
    <t>アスパラギン酸</t>
    <phoneticPr fontId="2"/>
  </si>
  <si>
    <t>グルタミン酸</t>
    <phoneticPr fontId="2"/>
  </si>
  <si>
    <t>タウリン</t>
    <phoneticPr fontId="2"/>
  </si>
  <si>
    <t>E/N比</t>
    <phoneticPr fontId="2"/>
  </si>
  <si>
    <t>総窒素含有量</t>
    <phoneticPr fontId="2"/>
  </si>
  <si>
    <t>分岐鎖アミノ酸 含有率</t>
    <phoneticPr fontId="2"/>
  </si>
  <si>
    <t>ビタミンB1</t>
    <phoneticPr fontId="2"/>
  </si>
  <si>
    <t>ビタミンB2</t>
    <phoneticPr fontId="2"/>
  </si>
  <si>
    <t>ビタミンB6</t>
    <phoneticPr fontId="2"/>
  </si>
  <si>
    <t>ビタミンB12</t>
    <phoneticPr fontId="2"/>
  </si>
  <si>
    <t>ナイアシン</t>
    <phoneticPr fontId="2"/>
  </si>
  <si>
    <t>パントテン酸</t>
    <phoneticPr fontId="2"/>
  </si>
  <si>
    <t>葉酸</t>
    <phoneticPr fontId="2"/>
  </si>
  <si>
    <t>ビオチン</t>
    <phoneticPr fontId="2"/>
  </si>
  <si>
    <t>ビタミンC</t>
    <phoneticPr fontId="2"/>
  </si>
  <si>
    <t>ビタミンA</t>
    <phoneticPr fontId="2"/>
  </si>
  <si>
    <t>ビタミンD</t>
    <phoneticPr fontId="2"/>
  </si>
  <si>
    <t>ビタミンE</t>
    <phoneticPr fontId="2"/>
  </si>
  <si>
    <t>ビタミンK</t>
    <phoneticPr fontId="2"/>
  </si>
  <si>
    <t>Fe</t>
    <phoneticPr fontId="2"/>
  </si>
  <si>
    <t>Mn</t>
    <phoneticPr fontId="2"/>
  </si>
  <si>
    <t>Cu</t>
    <phoneticPr fontId="2"/>
  </si>
  <si>
    <t>I</t>
    <phoneticPr fontId="2"/>
  </si>
  <si>
    <t>ビタミン</t>
    <phoneticPr fontId="2"/>
  </si>
  <si>
    <t>　(食塩相当量)</t>
    <rPh sb="2" eb="4">
      <t>ショクエン</t>
    </rPh>
    <rPh sb="4" eb="7">
      <t>ソウトウリョウ</t>
    </rPh>
    <phoneticPr fontId="2"/>
  </si>
  <si>
    <t>糖質熱量</t>
    <rPh sb="0" eb="2">
      <t>トウシツ</t>
    </rPh>
    <rPh sb="2" eb="4">
      <t>ネツリョウ</t>
    </rPh>
    <phoneticPr fontId="2"/>
  </si>
  <si>
    <t>脂質熱量</t>
    <rPh sb="0" eb="2">
      <t>シシツ</t>
    </rPh>
    <rPh sb="2" eb="4">
      <t>ネツリョウ</t>
    </rPh>
    <phoneticPr fontId="2"/>
  </si>
  <si>
    <t>アミノ酸熱量</t>
    <rPh sb="3" eb="4">
      <t>サン</t>
    </rPh>
    <rPh sb="4" eb="6">
      <t>ネツリョウ</t>
    </rPh>
    <phoneticPr fontId="2"/>
  </si>
  <si>
    <t xml:space="preserve"> </t>
    <phoneticPr fontId="2"/>
  </si>
  <si>
    <t>入力欄</t>
    <rPh sb="0" eb="3">
      <t>ニュウリョクラン</t>
    </rPh>
    <phoneticPr fontId="2"/>
  </si>
  <si>
    <t>輸液一覧表</t>
    <rPh sb="0" eb="2">
      <t>ユエキ</t>
    </rPh>
    <rPh sb="2" eb="5">
      <t>イチランヒョウ</t>
    </rPh>
    <phoneticPr fontId="2"/>
  </si>
  <si>
    <t>灰色は空欄、オレンジ色は数式</t>
    <rPh sb="0" eb="2">
      <t>ハイイロ</t>
    </rPh>
    <rPh sb="3" eb="5">
      <t>クウラン</t>
    </rPh>
    <rPh sb="10" eb="11">
      <t>イロ</t>
    </rPh>
    <rPh sb="12" eb="14">
      <t>スウシキ</t>
    </rPh>
    <phoneticPr fontId="2"/>
  </si>
  <si>
    <t>必</t>
    <rPh sb="0" eb="1">
      <t>ヒツ</t>
    </rPh>
    <phoneticPr fontId="2"/>
  </si>
  <si>
    <t>分</t>
    <rPh sb="0" eb="1">
      <t>ブン</t>
    </rPh>
    <phoneticPr fontId="2"/>
  </si>
  <si>
    <t>必須アミノ酸</t>
    <rPh sb="0" eb="2">
      <t>ヒッス</t>
    </rPh>
    <rPh sb="5" eb="6">
      <t>サン</t>
    </rPh>
    <phoneticPr fontId="2"/>
  </si>
  <si>
    <t>分枝鎖アミノ酸</t>
    <rPh sb="0" eb="3">
      <t>ブンシサ</t>
    </rPh>
    <rPh sb="6" eb="7">
      <t>サン</t>
    </rPh>
    <phoneticPr fontId="2"/>
  </si>
  <si>
    <t>糖質</t>
    <phoneticPr fontId="2"/>
  </si>
  <si>
    <t>脂質</t>
    <phoneticPr fontId="2"/>
  </si>
  <si>
    <t>総遊離アミノ酸量</t>
    <phoneticPr fontId="2"/>
  </si>
  <si>
    <t>総熱量</t>
    <phoneticPr fontId="2"/>
  </si>
  <si>
    <t>熱量構成比率</t>
    <rPh sb="0" eb="2">
      <t>ネツリョウ</t>
    </rPh>
    <rPh sb="2" eb="4">
      <t>コウセイ</t>
    </rPh>
    <rPh sb="4" eb="6">
      <t>ヒリツ</t>
    </rPh>
    <phoneticPr fontId="2"/>
  </si>
  <si>
    <t>脂質</t>
    <rPh sb="0" eb="2">
      <t>シシツ</t>
    </rPh>
    <phoneticPr fontId="2"/>
  </si>
  <si>
    <t>炭水化物</t>
    <rPh sb="0" eb="4">
      <t>タンスイカブツ</t>
    </rPh>
    <phoneticPr fontId="2"/>
  </si>
  <si>
    <t>%</t>
    <phoneticPr fontId="2"/>
  </si>
  <si>
    <t>g</t>
    <phoneticPr fontId="2"/>
  </si>
  <si>
    <t>ソルデム1輸液</t>
    <phoneticPr fontId="2"/>
  </si>
  <si>
    <t>-</t>
    <phoneticPr fontId="2"/>
  </si>
  <si>
    <t>水分量・熱量</t>
    <rPh sb="0" eb="3">
      <t>スイブンリョウ</t>
    </rPh>
    <rPh sb="4" eb="6">
      <t>ネツリョウ</t>
    </rPh>
    <phoneticPr fontId="2"/>
  </si>
  <si>
    <t>う゛ぃーんＦゆえき</t>
  </si>
  <si>
    <t>う゛ぃーんＤゆえき</t>
  </si>
  <si>
    <t>う゛ぃーん３Ｇゆえき</t>
  </si>
  <si>
    <t>さう゛ぃおぞーるゆえき</t>
  </si>
  <si>
    <t>ヴぃーんF</t>
    <phoneticPr fontId="2"/>
  </si>
  <si>
    <t>ヴぃーんD</t>
    <phoneticPr fontId="2"/>
  </si>
  <si>
    <t>ヴぃーん３G</t>
    <phoneticPr fontId="2"/>
  </si>
  <si>
    <t>MCTオイル</t>
    <phoneticPr fontId="2"/>
  </si>
  <si>
    <t>budoutou5%</t>
  </si>
  <si>
    <t>budoutou10%</t>
  </si>
  <si>
    <t>budoutou20%</t>
  </si>
  <si>
    <t>budoutou30%</t>
  </si>
  <si>
    <t>budoutou50%</t>
  </si>
  <si>
    <t>budoutou70%</t>
  </si>
  <si>
    <t>maruto-su(katou)10%</t>
  </si>
  <si>
    <t>kishirito-ru5%</t>
  </si>
  <si>
    <t>seirishokuensui</t>
  </si>
  <si>
    <t>ringerueki</t>
  </si>
  <si>
    <t>harutomaneki「kobayashi」</t>
  </si>
  <si>
    <t>harutomanDeki「kobayashi」</t>
  </si>
  <si>
    <t>rakutekkuchuu</t>
  </si>
  <si>
    <t>rakutekkuDyueki</t>
  </si>
  <si>
    <t>rakutekkuGyueki</t>
  </si>
  <si>
    <t>potako-ruRyueki</t>
  </si>
  <si>
    <t>sorurakutoyueki</t>
  </si>
  <si>
    <t>sorurakutoDyueki</t>
  </si>
  <si>
    <t>sorurakutoSyueki</t>
  </si>
  <si>
    <t>sorurakutoTMRyueki</t>
  </si>
  <si>
    <t>harutomanyueki「NP」</t>
  </si>
  <si>
    <t>harutomanyuekipH8「NP」</t>
  </si>
  <si>
    <t>rakutoringerueki"fuso-"</t>
  </si>
  <si>
    <t>rakutoringeruMchuu「fuso-」</t>
  </si>
  <si>
    <t>rakutoringeruSchuu「fuso-」</t>
  </si>
  <si>
    <t>nisoriMchuu</t>
  </si>
  <si>
    <t>nisori・Schuu</t>
  </si>
  <si>
    <t>nisoriyueki</t>
  </si>
  <si>
    <t>soryu-genFchuu</t>
  </si>
  <si>
    <t>soryu-genGchuu</t>
  </si>
  <si>
    <t>rinase-toDyueki</t>
  </si>
  <si>
    <t>rinase-toFyueki</t>
  </si>
  <si>
    <t>fijio140yueki</t>
  </si>
  <si>
    <t>vi-nFyueki</t>
  </si>
  <si>
    <t>vi-nDyueki</t>
  </si>
  <si>
    <t>soruasetoDyueki</t>
  </si>
  <si>
    <t>soruasetoFyueki</t>
  </si>
  <si>
    <t>pero-ruchuu</t>
  </si>
  <si>
    <t>bika-bonyueki</t>
  </si>
  <si>
    <t>bikaneitoyueki</t>
  </si>
  <si>
    <t>soritaT1gouyueki</t>
  </si>
  <si>
    <t>denosarin1yueki</t>
  </si>
  <si>
    <t>sorudemu1yueki</t>
  </si>
  <si>
    <t>ripurasu1gouyueki</t>
  </si>
  <si>
    <t>soritaT2gouyueki</t>
  </si>
  <si>
    <t>sorudemu2yueki</t>
  </si>
  <si>
    <t>asetoki-pu3Gchuu</t>
  </si>
  <si>
    <t>esuronBchuu</t>
  </si>
  <si>
    <t>kurinizarutsuyueki</t>
  </si>
  <si>
    <t>guruaseto35chuu</t>
  </si>
  <si>
    <t>harutomanG3gouyueki</t>
  </si>
  <si>
    <t>soritaT3gouyueki</t>
  </si>
  <si>
    <t>soritaT3gouGyueki</t>
  </si>
  <si>
    <t>soritakkusuHyueki</t>
  </si>
  <si>
    <t>fijiozo-ru3gouyueki</t>
  </si>
  <si>
    <t>fijio35yueki</t>
  </si>
  <si>
    <t>torifuri-doyueki</t>
  </si>
  <si>
    <t>furukutorakutochuu</t>
  </si>
  <si>
    <t>sorudemu3yueki</t>
  </si>
  <si>
    <t>sorudemu3Ayueki</t>
  </si>
  <si>
    <t>sorudemu3AGyueki</t>
  </si>
  <si>
    <t>sorudemu3PGyueki</t>
  </si>
  <si>
    <t>sorumarutoyueki</t>
  </si>
  <si>
    <t>hishinaruku3gouyueki</t>
  </si>
  <si>
    <t>yuekinki-puyueki</t>
  </si>
  <si>
    <t>asete-toijieki3G「HK」</t>
  </si>
  <si>
    <t>akumarutoyueki</t>
  </si>
  <si>
    <t>akuchittoyueki</t>
  </si>
  <si>
    <t>vi-n3Gyueki</t>
  </si>
  <si>
    <t>ripurasu3gouyueki</t>
  </si>
  <si>
    <t>asutemarin3gouMGyueki</t>
  </si>
  <si>
    <t>penraibuchuu</t>
  </si>
  <si>
    <t>soritaT4gouyueki</t>
  </si>
  <si>
    <t>sorudemu6yueki</t>
  </si>
  <si>
    <t>fijio70yueki</t>
  </si>
  <si>
    <t>moripuronFyueki</t>
  </si>
  <si>
    <t>aminikkuyueki</t>
  </si>
  <si>
    <t>moriaminSchuu</t>
  </si>
  <si>
    <t>amiparenyueki</t>
  </si>
  <si>
    <t>amizettoByueki</t>
  </si>
  <si>
    <t>puroteamin12chuushaeki</t>
  </si>
  <si>
    <t>neoamiyu-yueki</t>
  </si>
  <si>
    <t>kidominyueki</t>
  </si>
  <si>
    <t>hikarirebanchuu</t>
  </si>
  <si>
    <t>pureaminPchuushaeki</t>
  </si>
  <si>
    <t>tsuinparuyueki</t>
  </si>
  <si>
    <t>parese-fuyueki</t>
  </si>
  <si>
    <t>purasuaminoyueki</t>
  </si>
  <si>
    <t>aminofuri-doyueki</t>
  </si>
  <si>
    <t>bi-furi-doyueki</t>
  </si>
  <si>
    <t>amikarikkuyueki</t>
  </si>
  <si>
    <t>amigurandoyueki</t>
  </si>
  <si>
    <t>parepurasuyueki</t>
  </si>
  <si>
    <t>rihabikkusuK1gouyueki</t>
  </si>
  <si>
    <t>rihabikkusuK2gouyueki</t>
  </si>
  <si>
    <t>haikarikkueki-1gou</t>
  </si>
  <si>
    <t>haikarikkueki-2gou</t>
  </si>
  <si>
    <t>haikarikkueki-3gou</t>
  </si>
  <si>
    <t>haikarikkuNCLyueki</t>
  </si>
  <si>
    <t>haikarikkuNCNyueki</t>
  </si>
  <si>
    <t>haikarikkuNCHyueki</t>
  </si>
  <si>
    <t>haikarikkuRFyueki</t>
  </si>
  <si>
    <t>karonari-Lyueki</t>
  </si>
  <si>
    <t>karonari-Myueki</t>
  </si>
  <si>
    <t>karonari-Hyueki</t>
  </si>
  <si>
    <t>pi-enutsuin-1gouyueki</t>
  </si>
  <si>
    <t>pi-enutsuin-2gouyueki</t>
  </si>
  <si>
    <t>pi-enutsuin-3gouyueki</t>
  </si>
  <si>
    <t>neoparen1gouyueki</t>
  </si>
  <si>
    <t>neoparen2gouyueki</t>
  </si>
  <si>
    <t>eruneopaNF1gouyueki</t>
  </si>
  <si>
    <t>eruneopaNF2gouyueki</t>
  </si>
  <si>
    <t>mikishiddoLyueki</t>
  </si>
  <si>
    <t>mikishiddoHyueki</t>
  </si>
  <si>
    <t>intorariposuyueki10%</t>
  </si>
  <si>
    <t>intorariposuyueki20%</t>
  </si>
  <si>
    <t>saviozo-ruyueki</t>
  </si>
  <si>
    <t>teibunshidekisutorantouchuu</t>
  </si>
  <si>
    <t>teibunshidekisutoranLchuu</t>
  </si>
  <si>
    <t>sarinhesuyueki6%</t>
  </si>
  <si>
    <t>hesupanda-yueki</t>
  </si>
  <si>
    <t>borubenyueki6%</t>
  </si>
  <si>
    <t>enkanatoriumu10%</t>
  </si>
  <si>
    <t>enkanatoriumu1moru</t>
  </si>
  <si>
    <t>asuparachuushaeki</t>
  </si>
  <si>
    <t>karuchiko-ruchuushaeki8.5%</t>
  </si>
  <si>
    <t>shokuen(g)</t>
  </si>
  <si>
    <t>tansansuisonatoriumu(juusou)(g)</t>
  </si>
  <si>
    <t>rako-ruNF</t>
  </si>
  <si>
    <t>bonyuu</t>
  </si>
  <si>
    <t>ぐるこーす</t>
    <phoneticPr fontId="2"/>
  </si>
  <si>
    <t>ビタミン・微量元素</t>
    <phoneticPr fontId="2"/>
  </si>
  <si>
    <t>オーツカMV注1号 (バイアル)</t>
    <rPh sb="6" eb="7">
      <t>チュウ</t>
    </rPh>
    <rPh sb="8" eb="9">
      <t>ゴウ</t>
    </rPh>
    <phoneticPr fontId="2"/>
  </si>
  <si>
    <t>オーツカMV注2号 (バイアル)</t>
    <rPh sb="6" eb="7">
      <t>チュウ</t>
    </rPh>
    <rPh sb="8" eb="9">
      <t>ゴウ</t>
    </rPh>
    <phoneticPr fontId="2"/>
  </si>
  <si>
    <t>マルタミン注射用 (バイアル)</t>
    <rPh sb="5" eb="8">
      <t>チュウシャヨウ</t>
    </rPh>
    <phoneticPr fontId="2"/>
  </si>
  <si>
    <t>ビタジェクト(A・B液) (バイアル)</t>
    <rPh sb="10" eb="11">
      <t>エキ</t>
    </rPh>
    <phoneticPr fontId="2"/>
  </si>
  <si>
    <t>パンビタン末 (g)</t>
    <rPh sb="5" eb="6">
      <t>マツ</t>
    </rPh>
    <phoneticPr fontId="2"/>
  </si>
  <si>
    <t>チョコラA筋注 (ml)</t>
    <rPh sb="5" eb="7">
      <t>キンチュウ</t>
    </rPh>
    <phoneticPr fontId="2"/>
  </si>
  <si>
    <t>アリナミンF (mg)</t>
    <phoneticPr fontId="2"/>
  </si>
  <si>
    <t>コカルボキシラーゼ「イセイ」 (mg)</t>
    <phoneticPr fontId="2"/>
  </si>
  <si>
    <t>メタボリン (mg)</t>
    <phoneticPr fontId="2"/>
  </si>
  <si>
    <t>ビスラーゼ (mg)</t>
    <phoneticPr fontId="2"/>
  </si>
  <si>
    <t>フラビタン (mg)</t>
    <phoneticPr fontId="2"/>
  </si>
  <si>
    <t>ナイクリン (mg)</t>
    <phoneticPr fontId="2"/>
  </si>
  <si>
    <t>パントール (mg)</t>
    <phoneticPr fontId="2"/>
  </si>
  <si>
    <t>ピリドキサール (mg)</t>
    <phoneticPr fontId="2"/>
  </si>
  <si>
    <t>VitB1はチアミン塩化物塩酸塩、VitB6はピリドキシン塩酸塩</t>
    <rPh sb="10" eb="16">
      <t>エンカブツエンサンエン</t>
    </rPh>
    <rPh sb="29" eb="32">
      <t>エンサンエン</t>
    </rPh>
    <phoneticPr fontId="2"/>
  </si>
  <si>
    <t>VitB1はチアミン塩化物塩酸塩、VitB2はリボフラビンリン酸エステルナトリウムVitB6はピリドキシン塩酸塩、パントテン酸はパントール</t>
    <rPh sb="10" eb="16">
      <t>エンカブツエンサンエン</t>
    </rPh>
    <rPh sb="31" eb="32">
      <t>サン</t>
    </rPh>
    <rPh sb="53" eb="56">
      <t>エンサンエン</t>
    </rPh>
    <rPh sb="62" eb="63">
      <t>サン</t>
    </rPh>
    <phoneticPr fontId="2"/>
  </si>
  <si>
    <t>VitB1はチアミン硝化物、VitB6はピリドキシン塩酸塩</t>
    <rPh sb="10" eb="11">
      <t>ショウ</t>
    </rPh>
    <rPh sb="12" eb="13">
      <t>ブツ</t>
    </rPh>
    <phoneticPr fontId="2"/>
  </si>
  <si>
    <t>プロスルチアミン</t>
    <phoneticPr fontId="2"/>
  </si>
  <si>
    <t>フルスルチアミン</t>
    <phoneticPr fontId="2"/>
  </si>
  <si>
    <t>コカルボキシラーゼ</t>
    <phoneticPr fontId="2"/>
  </si>
  <si>
    <t>チアミン塩化物塩酸塩</t>
    <rPh sb="4" eb="10">
      <t>エンカブツエンサンエン</t>
    </rPh>
    <phoneticPr fontId="2"/>
  </si>
  <si>
    <t>リボフラビンリン酸エステルナトリウム</t>
    <rPh sb="8" eb="9">
      <t>サン</t>
    </rPh>
    <phoneticPr fontId="2"/>
  </si>
  <si>
    <t>フラビンアデニンジヌクレオチドナトリウム</t>
    <phoneticPr fontId="2"/>
  </si>
  <si>
    <t>パンテノール</t>
    <phoneticPr fontId="2"/>
  </si>
  <si>
    <t>ピリドキサールリン酸エステル水和物</t>
    <rPh sb="9" eb="10">
      <t>サン</t>
    </rPh>
    <rPh sb="14" eb="17">
      <t>スイワブツ</t>
    </rPh>
    <phoneticPr fontId="2"/>
  </si>
  <si>
    <t>ニコチン酸(モル質量123.11g/mol)。ニコチン酸アミド(モル質量122.12g/mol)と共にナイアシンと総称される。厚労省によるとニコチン酸当量で考える</t>
    <rPh sb="4" eb="5">
      <t>サン</t>
    </rPh>
    <rPh sb="8" eb="10">
      <t>シツリョウ</t>
    </rPh>
    <rPh sb="34" eb="36">
      <t>シツリョウ</t>
    </rPh>
    <rPh sb="49" eb="50">
      <t>トモ</t>
    </rPh>
    <rPh sb="57" eb="59">
      <t>ソウショウ</t>
    </rPh>
    <rPh sb="63" eb="66">
      <t>コウロウショウ</t>
    </rPh>
    <rPh sb="74" eb="75">
      <t>サン</t>
    </rPh>
    <rPh sb="75" eb="77">
      <t>トウリョウ</t>
    </rPh>
    <rPh sb="78" eb="79">
      <t>カンガ</t>
    </rPh>
    <phoneticPr fontId="2"/>
  </si>
  <si>
    <t>メコバラミン (メチルコバラミン、分子量1344.40 g/mol)</t>
    <rPh sb="17" eb="20">
      <t>ブンシリョウ</t>
    </rPh>
    <phoneticPr fontId="2"/>
  </si>
  <si>
    <t>ヒドロキソコバラミン酢酸塩 (分子量1388.3918)</t>
    <rPh sb="10" eb="13">
      <t>サクサンエン</t>
    </rPh>
    <rPh sb="15" eb="18">
      <t>ブンシリョウ</t>
    </rPh>
    <phoneticPr fontId="2"/>
  </si>
  <si>
    <r>
      <t>シアノコバラミン。</t>
    </r>
    <r>
      <rPr>
        <sz val="11"/>
        <color theme="1"/>
        <rFont val="ＭＳ Ｐゴシック"/>
        <family val="3"/>
        <charset val="128"/>
        <scheme val="minor"/>
      </rPr>
      <t>食事摂</t>
    </r>
    <r>
      <rPr>
        <sz val="11"/>
        <color theme="1"/>
        <rFont val="ＭＳ Ｐゴシック"/>
        <family val="2"/>
        <charset val="128"/>
        <scheme val="minor"/>
      </rPr>
      <t>取基準の数値はシアノコバラミン量(分子量1355.3652)として設定されている。</t>
    </r>
    <rPh sb="9" eb="11">
      <t>ショクジ</t>
    </rPh>
    <rPh sb="11" eb="13">
      <t>セッシュ</t>
    </rPh>
    <rPh sb="13" eb="15">
      <t>キジュン</t>
    </rPh>
    <rPh sb="29" eb="32">
      <t>ブンシリョウ</t>
    </rPh>
    <rPh sb="45" eb="47">
      <t>セッテイ</t>
    </rPh>
    <phoneticPr fontId="2"/>
  </si>
  <si>
    <t>アリナミン (mg)</t>
    <phoneticPr fontId="2"/>
  </si>
  <si>
    <t>コバマミド (mg)</t>
    <phoneticPr fontId="2"/>
  </si>
  <si>
    <t>コバマミド(分子量1579.5818)</t>
    <phoneticPr fontId="2"/>
  </si>
  <si>
    <t>フォリアミン (mg)</t>
    <phoneticPr fontId="2"/>
  </si>
  <si>
    <t>ビタメジン (バイアル）</t>
    <phoneticPr fontId="2"/>
  </si>
  <si>
    <t>リン酸チアミンジスルフィド　107.13mg（チアミン塩化物塩酸塩として100mg）、ピリドキシン塩酸塩　100mg、シアノコバラミン　1mg</t>
    <phoneticPr fontId="2"/>
  </si>
  <si>
    <t>フレスミンS (µg)</t>
  </si>
  <si>
    <t>フラビンアデニンジヌクレオチドナトリウムをフラビンアデニンジヌクレオチド5mg、ピリドキサールリン酸エステル水和物10mg</t>
    <phoneticPr fontId="2"/>
  </si>
  <si>
    <t>チアミン塩化物塩酸塩 10mg、リボフラビンリン酸エステルナトリウム 6.355mg（リボフラビンとして5mg）、アスコルビン酸 200mg</t>
    <phoneticPr fontId="2"/>
  </si>
  <si>
    <t>ライボミンS (ml)</t>
    <phoneticPr fontId="2"/>
  </si>
  <si>
    <t>サブビタン (5ml/A) (ml)</t>
    <phoneticPr fontId="2"/>
  </si>
  <si>
    <t>シーパラ (2ml/A) (ml)</t>
    <phoneticPr fontId="2"/>
  </si>
  <si>
    <t>チアミン塩化物塩酸塩:10mg、リボフラビンリン酸エステルナトリウム:1mg、ピリドキシン塩酸塩:2mg、ニコチン酸アミド:20mg、パンテノール:2mg、アスコルビン酸:50mg</t>
    <phoneticPr fontId="2"/>
  </si>
  <si>
    <t>ハイシー (mg)</t>
    <phoneticPr fontId="2"/>
  </si>
  <si>
    <t>メナテトレノン(メナキノン ─4（ビタミン K2）分子量444.7)。VitKはフィロキノン (分子量450.7)として計算</t>
    <rPh sb="25" eb="28">
      <t>ブンシリョウ</t>
    </rPh>
    <rPh sb="48" eb="51">
      <t>ブンシリョウ</t>
    </rPh>
    <rPh sb="60" eb="62">
      <t>ケイサン</t>
    </rPh>
    <phoneticPr fontId="2"/>
  </si>
  <si>
    <t>エネーボ</t>
    <phoneticPr fontId="2"/>
  </si>
  <si>
    <t>ビオチン (mg) (1mg/2ml/A)</t>
    <phoneticPr fontId="2"/>
  </si>
  <si>
    <t>アスコルビン酸</t>
    <rPh sb="6" eb="7">
      <t>サン</t>
    </rPh>
    <phoneticPr fontId="2"/>
  </si>
  <si>
    <t>葉酸</t>
    <rPh sb="0" eb="2">
      <t>ヨウサン</t>
    </rPh>
    <phoneticPr fontId="2"/>
  </si>
  <si>
    <t>ケイツーN (mg) (10mg/2ml/A)</t>
    <phoneticPr fontId="2"/>
  </si>
  <si>
    <t>ソリタT2顆粒 (g) (4g/1包)</t>
    <rPh sb="5" eb="7">
      <t>カリュウ</t>
    </rPh>
    <rPh sb="17" eb="18">
      <t>ホウ</t>
    </rPh>
    <phoneticPr fontId="2"/>
  </si>
  <si>
    <t>ソリタT3顆粒 (g) (4g/1包)</t>
    <rPh sb="5" eb="7">
      <t>カリュウ</t>
    </rPh>
    <phoneticPr fontId="2"/>
  </si>
  <si>
    <t>µg</t>
    <phoneticPr fontId="2"/>
  </si>
  <si>
    <t>バランスミルク標準濃度(12.7%)</t>
    <rPh sb="7" eb="9">
      <t>ヒョウジュン</t>
    </rPh>
    <rPh sb="9" eb="11">
      <t>ノウド</t>
    </rPh>
    <phoneticPr fontId="2"/>
  </si>
  <si>
    <t>HMS-2 (包)</t>
    <rPh sb="7" eb="8">
      <t>ツツ</t>
    </rPh>
    <phoneticPr fontId="2"/>
  </si>
  <si>
    <t>母乳＋HMS-2 (60ml/包)</t>
    <rPh sb="0" eb="2">
      <t>ボニュウ</t>
    </rPh>
    <rPh sb="15" eb="16">
      <t>ツツ</t>
    </rPh>
    <phoneticPr fontId="2"/>
  </si>
  <si>
    <t>母乳＋HMS-2 (30ml/包)</t>
    <rPh sb="0" eb="2">
      <t>ボニュウ</t>
    </rPh>
    <rPh sb="15" eb="16">
      <t>ツツ</t>
    </rPh>
    <phoneticPr fontId="2"/>
  </si>
  <si>
    <t>アイクレオLBW (30%)</t>
    <phoneticPr fontId="2"/>
  </si>
  <si>
    <t>ソリタT2顆粒 (ml) (1包/水100ml)</t>
    <rPh sb="5" eb="7">
      <t>カリュウ</t>
    </rPh>
    <rPh sb="15" eb="16">
      <t>ホウ</t>
    </rPh>
    <rPh sb="17" eb="18">
      <t>ミズ</t>
    </rPh>
    <phoneticPr fontId="2"/>
  </si>
  <si>
    <t>ソリタT3顆粒 (ml) (1包/水100ml)</t>
    <rPh sb="5" eb="7">
      <t>カリュウ</t>
    </rPh>
    <rPh sb="15" eb="16">
      <t>ホウ</t>
    </rPh>
    <rPh sb="17" eb="18">
      <t>ミズ</t>
    </rPh>
    <phoneticPr fontId="2"/>
  </si>
  <si>
    <t>塩化ナトリウム1モル</t>
  </si>
  <si>
    <t>KCL点滴液15%</t>
  </si>
  <si>
    <t>KCL補正液キット20mEq</t>
  </si>
  <si>
    <t>アスパラK注10mEq</t>
  </si>
  <si>
    <t>アスパラ注射液</t>
  </si>
  <si>
    <t>硫酸Mg補正液</t>
  </si>
  <si>
    <t>カルチコール注射液8.5%</t>
  </si>
  <si>
    <t>塩化Ca補正液 (1mEq/ml)</t>
  </si>
  <si>
    <t>大塚塩カル注2%</t>
  </si>
  <si>
    <t>塩化アンモニウム補正液 (5mEq/ml)</t>
  </si>
  <si>
    <t>メイロン静注 8.4%</t>
  </si>
  <si>
    <t>メイロン静注 7%</t>
  </si>
  <si>
    <t>乳酸Na補正液 1mEq/ml</t>
  </si>
  <si>
    <t>フルカリック1号輸液 (903ml/容器)</t>
  </si>
  <si>
    <t>フルカリック1号輸液 (1355ml/容器)</t>
  </si>
  <si>
    <t>フルカリック2号輸液 (1505ml/容器)</t>
  </si>
  <si>
    <t>フルカリック3号輸液 (1103ml/容器)</t>
  </si>
  <si>
    <t>エネーボ</t>
  </si>
  <si>
    <t>アイクレオLBW (15.8%)</t>
  </si>
  <si>
    <t>アイクレオLBW (30%)</t>
  </si>
  <si>
    <t>オーツカMV注1号 (バイアル)</t>
  </si>
  <si>
    <t>オーツカMV注2号 (バイアル)</t>
  </si>
  <si>
    <t>マルタミン注射用 (バイアル)</t>
  </si>
  <si>
    <t>ビタジェクト(A・B液) (バイアル)</t>
  </si>
  <si>
    <t>パンビタン末 (g)</t>
  </si>
  <si>
    <t>チョコラA筋注 (ml)</t>
  </si>
  <si>
    <t>アリナミン (mg)</t>
  </si>
  <si>
    <t>アリナミンF (mg)</t>
  </si>
  <si>
    <t>コカルボキシラーゼ「イセイ」 (mg)</t>
  </si>
  <si>
    <t>メタボリン (mg)</t>
  </si>
  <si>
    <t>ビスラーゼ (mg)</t>
  </si>
  <si>
    <t>フラビタン (mg)</t>
  </si>
  <si>
    <t>ナイクリン (mg)</t>
  </si>
  <si>
    <t>パントール (mg)</t>
  </si>
  <si>
    <t>ピリドキサール (mg)</t>
  </si>
  <si>
    <t>コバマミド (mg)</t>
  </si>
  <si>
    <t>フォリアミン (mg)</t>
  </si>
  <si>
    <t>ビタメジン (バイアル）</t>
  </si>
  <si>
    <t>ライボミンS (ml)</t>
  </si>
  <si>
    <t>サブビタン (5ml/A) (ml)</t>
  </si>
  <si>
    <t>シーパラ (2ml/A) (ml)</t>
  </si>
  <si>
    <t>ハイシー (mg)</t>
  </si>
  <si>
    <t>ケイツーN (mg) (10mg/2ml/A)</t>
  </si>
  <si>
    <t>ビオチン (mg) (1mg/2ml/A)</t>
  </si>
  <si>
    <t>あるとふぇっどちゅうしゃえき</t>
  </si>
  <si>
    <t>りんさん２かりうむちゅう</t>
  </si>
  <si>
    <t>おおつかえんかるちゅう２％</t>
  </si>
  <si>
    <t>えんかあんもにうむほせいえき　（５ｍＥｑ・ｍｌ）</t>
  </si>
  <si>
    <t>めいろんじょうちゅう　８．４％</t>
  </si>
  <si>
    <t>めいろんじょうちゅう　７％</t>
  </si>
  <si>
    <t>もりへぱみんてんてきじょうちゅう</t>
  </si>
  <si>
    <t>あみのればんてんてきじょうちゅう</t>
  </si>
  <si>
    <t>てるふぃすてんてきじょうちゅう</t>
  </si>
  <si>
    <t>ふるかりっく１ごうゆえき　（９０３ｍｌ・ようき）</t>
  </si>
  <si>
    <t>ふるかりっく２ごうゆえき　（１００３ｍｌ・ようき）</t>
  </si>
  <si>
    <t>ふるかりっく２ごうゆえき　（１５０５ｍｌ・ようき）</t>
  </si>
  <si>
    <t>ふるかりっく３ごうゆえき　（１１０３ｍｌ・ようき）</t>
  </si>
  <si>
    <t>みず・ぱいたん</t>
  </si>
  <si>
    <t>えれんたーる（ｇ）（１つつみ８０ｇ）</t>
  </si>
  <si>
    <t>えれんたーるＰ（ｇ）（１つつみ４０ｇ・８０ｇ）</t>
  </si>
  <si>
    <t>えねーぼ</t>
  </si>
  <si>
    <t>そりたＴ２かりゅう　（ｇ）　（４ｇ・１つつみ）</t>
  </si>
  <si>
    <t>そりたＴ３かりゅう　（ｇ）　（４ｇ・１つつみ）</t>
  </si>
  <si>
    <t>そりたＴ２かりゅう　（ｍｌ）　（１つつみ・みず１００ｍｌ）</t>
  </si>
  <si>
    <t>そりたＴ３かりゅう　（ｍｌ）　（１つつみ・みず１００ｍｌ）</t>
  </si>
  <si>
    <t>ばらんすみるくひょうじゅんのうど（１２．７％）</t>
  </si>
  <si>
    <t>ぼにゅう＋ＨＭＳ－２　（６０ｍｌ・つつみ）</t>
  </si>
  <si>
    <t>ぼにゅう＋ＨＭＳ－２　（３０ｍｌ・つつみ）</t>
  </si>
  <si>
    <t>あいくれおＬＢＷ　（１５．８％）</t>
  </si>
  <si>
    <t>あいくれおＬＢＷ　（３０％）</t>
  </si>
  <si>
    <t>おーつかＭＶちゅう１ごう　（ばいある）</t>
  </si>
  <si>
    <t>おーつかＭＶちゅう２ごう　（ばいある）</t>
  </si>
  <si>
    <t>まるたみんちゅうしゃよう　（ばいある）</t>
  </si>
  <si>
    <t>びたじぇくと（Ａ・Ｂえき）　（ばいある）</t>
  </si>
  <si>
    <t>ぱんびたんまつ　（ｇ）</t>
  </si>
  <si>
    <t>ちょこらＡきんちゅう　（ｍｌ）</t>
  </si>
  <si>
    <t>ありなみん　（ｍｇ）</t>
  </si>
  <si>
    <t>ありなみんＦ　（ｍｇ）</t>
  </si>
  <si>
    <t>こかるぼきしらーぜ「いせい」　（ｍｇ）</t>
  </si>
  <si>
    <t>めたぼりん　（ｍｇ）</t>
  </si>
  <si>
    <t>びすらーぜ　（ｍｇ）</t>
  </si>
  <si>
    <t>ふらびたん　（ｍｇ）</t>
  </si>
  <si>
    <t>ないくりん　（ｍｇ）</t>
  </si>
  <si>
    <t>ぱんとーる　（ｍｇ）</t>
  </si>
  <si>
    <t>ぴりどきさーる　（ｍｇ）</t>
  </si>
  <si>
    <t>ふれすみんＳ　（µｇ）</t>
  </si>
  <si>
    <t>びたみんＢ１２ちゅう”Ｚ”</t>
  </si>
  <si>
    <t>こばまみど　（ｍｇ）</t>
  </si>
  <si>
    <t>ふぉりあみん　（ｍｇ）</t>
  </si>
  <si>
    <t>びためじん　（ばいある）</t>
  </si>
  <si>
    <t>らいぼみんＳ　（ｍｌ）</t>
  </si>
  <si>
    <t>さぶびたん　（５ｍｌ・Ａ）　（ｍｌ）</t>
  </si>
  <si>
    <t>しーぱら　（２ｍｌ・Ａ）　（ｍｌ）</t>
  </si>
  <si>
    <t>はいしー　（ｍｇ）</t>
  </si>
  <si>
    <t>けいつーＮ　（ｍｇ）　（１０ｍｇ・２ｍｌ・Ａ）</t>
  </si>
  <si>
    <t>びおちん　（ｍｇ）　（１ｍｇ・２ｍｌ・Ａ）</t>
  </si>
  <si>
    <t>しお</t>
    <phoneticPr fontId="2"/>
  </si>
  <si>
    <t>arutofeddochuushaeki</t>
  </si>
  <si>
    <t>rinsan2kariumuchuu</t>
  </si>
  <si>
    <t>ootsukaenkaruchuu2%</t>
  </si>
  <si>
    <t>enkaanmoniumuhoseieki (5mEq・ml)</t>
  </si>
  <si>
    <t>meironjouchuu 8.4%</t>
  </si>
  <si>
    <t>meironjouchuu 7%</t>
  </si>
  <si>
    <t>morihepamintentekijouchuu</t>
  </si>
  <si>
    <t>aminorebantentekijouchuu</t>
  </si>
  <si>
    <t>terufisutentekijouchuu</t>
  </si>
  <si>
    <t>furukarikku1gouyueki (903ml・youki)</t>
  </si>
  <si>
    <t>furukarikku1gouyueki (1355ml・youki)</t>
  </si>
  <si>
    <t>furukarikku2gouyueki (1003ml・youki)</t>
  </si>
  <si>
    <t>furukarikku2gouyueki (1505ml・youki)</t>
  </si>
  <si>
    <t>furukarikku3gouyueki (1103ml・youki)</t>
  </si>
  <si>
    <t>mizu・paitan</t>
  </si>
  <si>
    <t>erenta-ru(g)(1tsutsumi80g)</t>
  </si>
  <si>
    <t>erenta-ruP(g)(1tsutsumi40g・80g)</t>
  </si>
  <si>
    <t>ene-bo</t>
  </si>
  <si>
    <t>soritaT2karyuu (g) (4g・1tsutsumi)</t>
  </si>
  <si>
    <t>soritaT3karyuu (g) (4g・1tsutsumi)</t>
  </si>
  <si>
    <t>soritaT2karyuu (ml) (1tsutsumi・mizu100ml)</t>
  </si>
  <si>
    <t>soritaT3karyuu (ml) (1tsutsumi・mizu100ml)</t>
  </si>
  <si>
    <t>baransumirukuhyoujunnoudo(12.7%)</t>
  </si>
  <si>
    <t>bonyuu+HMS-2 (60ml・tsutsumi)</t>
  </si>
  <si>
    <t>bonyuu+HMS-2 (30ml・tsutsumi)</t>
  </si>
  <si>
    <t>aikureoLBW (15.8%)</t>
  </si>
  <si>
    <t>aikureoLBW (30%)</t>
  </si>
  <si>
    <t>o-tsukaMVchuu1gou (baiaru)</t>
  </si>
  <si>
    <t>o-tsukaMVchuu2gou (baiaru)</t>
  </si>
  <si>
    <t>marutaminchuushayou (baiaru)</t>
  </si>
  <si>
    <t>bitajekuto(A・Beki) (baiaru)</t>
  </si>
  <si>
    <t>panbitanmatsu (g)</t>
  </si>
  <si>
    <t>chokoraAkinchuu (ml)</t>
  </si>
  <si>
    <t>arinamin (mg)</t>
  </si>
  <si>
    <t>arinaminF (mg)</t>
  </si>
  <si>
    <t>kokarubokishira-ze「isei」 (mg)</t>
  </si>
  <si>
    <t>metaborin (mg)</t>
  </si>
  <si>
    <t>bisura-ze (mg)</t>
  </si>
  <si>
    <t>furabitan (mg)</t>
  </si>
  <si>
    <t>naikurin (mg)</t>
  </si>
  <si>
    <t>panto-ru (mg)</t>
  </si>
  <si>
    <t>piridokisa-ru (mg)</t>
  </si>
  <si>
    <t>furesuminS (µg)</t>
  </si>
  <si>
    <t>bitaminB12chuu"Z"</t>
  </si>
  <si>
    <t>kobamamido (mg)</t>
  </si>
  <si>
    <t>bitamejin (baiaru)</t>
  </si>
  <si>
    <t>raibominS (ml)</t>
  </si>
  <si>
    <t>sabubitan (5ml・A) (ml)</t>
  </si>
  <si>
    <t>shi-para (2ml・A) (ml)</t>
  </si>
  <si>
    <t>haishi- (mg)</t>
  </si>
  <si>
    <t>keitsu-N (mg) (10mg・2ml・A)</t>
  </si>
  <si>
    <t>biochin (mg) (1mg・2ml・A)</t>
  </si>
  <si>
    <t>ふるかりっく１ごうゆえき　（１３５５ｍｌ・ようき）</t>
    <phoneticPr fontId="2"/>
  </si>
  <si>
    <t>フルカリック2号輸液 (1003ml/容器)</t>
    <phoneticPr fontId="2"/>
  </si>
  <si>
    <t>Se</t>
    <phoneticPr fontId="2"/>
  </si>
  <si>
    <t>エンシュアH</t>
  </si>
  <si>
    <t>エンシュアH</t>
    <phoneticPr fontId="2"/>
  </si>
  <si>
    <t>エンシュア・リキッド</t>
  </si>
  <si>
    <t>エンシュア・リキッド</t>
    <phoneticPr fontId="2"/>
  </si>
  <si>
    <t>えんしゅあ・りきっど</t>
    <phoneticPr fontId="2"/>
  </si>
  <si>
    <t>えんしゅあＨ</t>
    <phoneticPr fontId="2"/>
  </si>
  <si>
    <t>enshua・rikiddo</t>
    <phoneticPr fontId="2"/>
  </si>
  <si>
    <t>enshuaH</t>
    <phoneticPr fontId="2"/>
  </si>
  <si>
    <t>foriamin (mg)</t>
    <phoneticPr fontId="2"/>
  </si>
  <si>
    <t>Se</t>
    <phoneticPr fontId="2"/>
  </si>
  <si>
    <t>µg</t>
    <phoneticPr fontId="2"/>
  </si>
  <si>
    <t>窒素原子数</t>
    <rPh sb="0" eb="2">
      <t>チッソ</t>
    </rPh>
    <rPh sb="2" eb="5">
      <t>ゲンシスウ</t>
    </rPh>
    <phoneticPr fontId="2"/>
  </si>
  <si>
    <t>アスパラギン酸の内容が、アスパラギン酸KまたはMgとNa水和物となっていたので、KとMg部分は当量入っていると仮定して計算。コリンは8.56mg</t>
    <rPh sb="6" eb="7">
      <t>サン</t>
    </rPh>
    <rPh sb="8" eb="10">
      <t>ナイヨウ</t>
    </rPh>
    <rPh sb="18" eb="19">
      <t>サン</t>
    </rPh>
    <rPh sb="28" eb="31">
      <t>スイワブツ</t>
    </rPh>
    <rPh sb="44" eb="46">
      <t>ブブン</t>
    </rPh>
    <rPh sb="47" eb="49">
      <t>トウリョウ</t>
    </rPh>
    <rPh sb="49" eb="50">
      <t>ハイ</t>
    </rPh>
    <rPh sb="55" eb="57">
      <t>カテイ</t>
    </rPh>
    <rPh sb="59" eb="61">
      <t>ケイサン</t>
    </rPh>
    <phoneticPr fontId="2"/>
  </si>
  <si>
    <t>アスパラギン酸の内容が、アスパラギン酸KまたはMgとなっていたので、KとMg部分は当量入っていると仮定して計算。コリンは40.2mg。リシンはリシン酢酸塩、システインはシステイン塩酸塩水和物、チロシンはチロシンエチルエステル塩酸塩より含有量を計算</t>
    <rPh sb="74" eb="77">
      <t>サクサンエン</t>
    </rPh>
    <rPh sb="89" eb="92">
      <t>エンサンエン</t>
    </rPh>
    <rPh sb="92" eb="95">
      <t>スイワブツ</t>
    </rPh>
    <rPh sb="112" eb="115">
      <t>エンサンエン</t>
    </rPh>
    <rPh sb="117" eb="120">
      <t>ガンユウリョウ</t>
    </rPh>
    <rPh sb="121" eb="123">
      <t>ケイサン</t>
    </rPh>
    <phoneticPr fontId="2"/>
  </si>
  <si>
    <t>-</t>
    <phoneticPr fontId="2"/>
  </si>
  <si>
    <t>-</t>
    <phoneticPr fontId="2"/>
  </si>
  <si>
    <t>原子量・分子量</t>
    <rPh sb="4" eb="7">
      <t>ブンシリョウ</t>
    </rPh>
    <phoneticPr fontId="2"/>
  </si>
  <si>
    <t>アイクレオLBW (15.8%)</t>
    <phoneticPr fontId="2"/>
  </si>
  <si>
    <t>受取資料参照</t>
    <rPh sb="4" eb="6">
      <t>サンショウ</t>
    </rPh>
    <phoneticPr fontId="2"/>
  </si>
  <si>
    <t>リスト</t>
    <phoneticPr fontId="2"/>
  </si>
  <si>
    <t>輸液種類リストから</t>
    <rPh sb="0" eb="2">
      <t>ユエキ</t>
    </rPh>
    <rPh sb="2" eb="4">
      <t>シュルイ</t>
    </rPh>
    <phoneticPr fontId="2"/>
  </si>
  <si>
    <t>検索語句から</t>
    <rPh sb="0" eb="2">
      <t>ケンサク</t>
    </rPh>
    <rPh sb="2" eb="4">
      <t>ゴク</t>
    </rPh>
    <phoneticPr fontId="2"/>
  </si>
  <si>
    <t>細胞外液</t>
    <phoneticPr fontId="2"/>
  </si>
  <si>
    <t>類似薬リストから</t>
    <rPh sb="0" eb="3">
      <t>ルイジヤク</t>
    </rPh>
    <phoneticPr fontId="2"/>
  </si>
  <si>
    <t>mg</t>
    <phoneticPr fontId="2"/>
  </si>
  <si>
    <t>候補薬提示アルゴリズム</t>
    <rPh sb="0" eb="2">
      <t>コウホ</t>
    </rPh>
    <rPh sb="2" eb="3">
      <t>ヤク</t>
    </rPh>
    <rPh sb="3" eb="5">
      <t>テイジ</t>
    </rPh>
    <phoneticPr fontId="2"/>
  </si>
  <si>
    <t>製品名</t>
    <rPh sb="0" eb="3">
      <t>セイヒンメイ</t>
    </rPh>
    <phoneticPr fontId="2"/>
  </si>
  <si>
    <t>　空欄</t>
    <rPh sb="1" eb="3">
      <t>クウラン</t>
    </rPh>
    <phoneticPr fontId="2"/>
  </si>
  <si>
    <t>　製品名に合致</t>
    <rPh sb="1" eb="4">
      <t>セイヒンメイ</t>
    </rPh>
    <rPh sb="5" eb="7">
      <t>ガッチ</t>
    </rPh>
    <phoneticPr fontId="2"/>
  </si>
  <si>
    <t>輸液種類</t>
    <rPh sb="0" eb="2">
      <t>ユエキ</t>
    </rPh>
    <rPh sb="2" eb="4">
      <t>シュルイ</t>
    </rPh>
    <phoneticPr fontId="2"/>
  </si>
  <si>
    <t>　選択済み</t>
    <rPh sb="1" eb="3">
      <t>センタク</t>
    </rPh>
    <rPh sb="3" eb="4">
      <t>ズ</t>
    </rPh>
    <phoneticPr fontId="2"/>
  </si>
  <si>
    <t>候補リスト</t>
    <rPh sb="0" eb="2">
      <t>コウホ</t>
    </rPh>
    <phoneticPr fontId="2"/>
  </si>
  <si>
    <t>頻用薬</t>
    <rPh sb="0" eb="3">
      <t>ヒンヨウヤク</t>
    </rPh>
    <phoneticPr fontId="2"/>
  </si>
  <si>
    <t>検索語句</t>
    <rPh sb="0" eb="2">
      <t>ケンサク</t>
    </rPh>
    <rPh sb="2" eb="4">
      <t>ゴク</t>
    </rPh>
    <phoneticPr fontId="2"/>
  </si>
  <si>
    <t>　一部文字列</t>
    <rPh sb="1" eb="3">
      <t>イチブ</t>
    </rPh>
    <rPh sb="3" eb="6">
      <t>モジレツ</t>
    </rPh>
    <phoneticPr fontId="2"/>
  </si>
  <si>
    <t>類似薬リスト(輸液種類)</t>
    <rPh sb="0" eb="3">
      <t>ルイジヤク</t>
    </rPh>
    <rPh sb="7" eb="9">
      <t>ユエキ</t>
    </rPh>
    <rPh sb="9" eb="11">
      <t>シュルイ</t>
    </rPh>
    <phoneticPr fontId="2"/>
  </si>
  <si>
    <t>VeenF</t>
    <phoneticPr fontId="2"/>
  </si>
  <si>
    <t>VeenD</t>
    <phoneticPr fontId="2"/>
  </si>
  <si>
    <t>Veen3G</t>
    <phoneticPr fontId="2"/>
  </si>
  <si>
    <t>ビタミン類は一般名</t>
    <rPh sb="4" eb="5">
      <t>ルイ</t>
    </rPh>
    <rPh sb="6" eb="9">
      <t>イッパンメイ</t>
    </rPh>
    <phoneticPr fontId="2"/>
  </si>
  <si>
    <t>浸透圧</t>
    <rPh sb="0" eb="3">
      <t>シントウアツ</t>
    </rPh>
    <phoneticPr fontId="2"/>
  </si>
  <si>
    <t>mOsm/L</t>
    <phoneticPr fontId="2"/>
  </si>
  <si>
    <t>基本的な情報は「食品栄養データベース」(文部科学省)より。ナイアシン当量として、ナイアシン；トリプトファン÷60＝0.4となっていたが、純粋なナイアシン量を記載。ビタミンEはαトコフェロールのみの値。タウリンは「日本人の母乳成分の日内変動」(2011年)より昼間と夜間の平均値。アミノ酸合計は960mg、タウリンを4mgとしてアミノ酸量に含めると計算に合致する。E/N比やBCAA比は960mgを使用。受取資料で母乳中の鉄は40μgとなっていたが？浸透圧は「粉ミルク比較ナビbyPINORU」より</t>
    <rPh sb="0" eb="3">
      <t>キホンテキ</t>
    </rPh>
    <rPh sb="4" eb="6">
      <t>ジョウホウ</t>
    </rPh>
    <rPh sb="8" eb="10">
      <t>ショクヒン</t>
    </rPh>
    <rPh sb="10" eb="12">
      <t>エイヨウ</t>
    </rPh>
    <rPh sb="20" eb="22">
      <t>モンブ</t>
    </rPh>
    <rPh sb="22" eb="25">
      <t>カガクショウ</t>
    </rPh>
    <rPh sb="34" eb="36">
      <t>トウリョウ</t>
    </rPh>
    <rPh sb="68" eb="70">
      <t>ジュンスイ</t>
    </rPh>
    <rPh sb="76" eb="77">
      <t>リョウ</t>
    </rPh>
    <rPh sb="78" eb="80">
      <t>キサイ</t>
    </rPh>
    <rPh sb="98" eb="99">
      <t>アタイ</t>
    </rPh>
    <rPh sb="106" eb="109">
      <t>ニホンジン</t>
    </rPh>
    <rPh sb="110" eb="112">
      <t>ボニュウ</t>
    </rPh>
    <rPh sb="112" eb="114">
      <t>セイブン</t>
    </rPh>
    <rPh sb="115" eb="119">
      <t>ニチナイヘンドウ</t>
    </rPh>
    <rPh sb="125" eb="126">
      <t>ネン</t>
    </rPh>
    <rPh sb="129" eb="131">
      <t>ヒルマ</t>
    </rPh>
    <rPh sb="132" eb="134">
      <t>ヤカン</t>
    </rPh>
    <rPh sb="135" eb="138">
      <t>ヘイキンチ</t>
    </rPh>
    <rPh sb="142" eb="143">
      <t>サン</t>
    </rPh>
    <rPh sb="143" eb="145">
      <t>ゴウケイ</t>
    </rPh>
    <rPh sb="166" eb="167">
      <t>サン</t>
    </rPh>
    <rPh sb="167" eb="168">
      <t>リョウ</t>
    </rPh>
    <rPh sb="169" eb="170">
      <t>フク</t>
    </rPh>
    <rPh sb="173" eb="175">
      <t>ケイサン</t>
    </rPh>
    <rPh sb="176" eb="178">
      <t>ガッチ</t>
    </rPh>
    <rPh sb="184" eb="185">
      <t>ヒ</t>
    </rPh>
    <rPh sb="190" eb="191">
      <t>ヒ</t>
    </rPh>
    <rPh sb="198" eb="200">
      <t>シヨウ</t>
    </rPh>
    <rPh sb="201" eb="203">
      <t>ウケトリ</t>
    </rPh>
    <rPh sb="203" eb="205">
      <t>シリョウ</t>
    </rPh>
    <rPh sb="206" eb="209">
      <t>ボニュウチュウ</t>
    </rPh>
    <rPh sb="210" eb="211">
      <t>テツ</t>
    </rPh>
    <rPh sb="224" eb="227">
      <t>シントウアツ</t>
    </rPh>
    <rPh sb="229" eb="230">
      <t>コナ</t>
    </rPh>
    <rPh sb="233" eb="235">
      <t>ヒカク</t>
    </rPh>
    <phoneticPr fontId="2"/>
  </si>
  <si>
    <t>浸透圧比*</t>
    <phoneticPr fontId="2"/>
  </si>
  <si>
    <t>低分子デキストラン糖注</t>
    <phoneticPr fontId="2"/>
  </si>
  <si>
    <t>サヴィオゾール輸液</t>
    <phoneticPr fontId="2"/>
  </si>
  <si>
    <t>ヘスパンダー輸液</t>
    <phoneticPr fontId="2"/>
  </si>
  <si>
    <t xml:space="preserve"> </t>
    <phoneticPr fontId="2"/>
  </si>
  <si>
    <t>エレンタール (g) (1包80g)</t>
  </si>
  <si>
    <t>エレンタールP (g) (1包40g・80g)</t>
  </si>
  <si>
    <t>エレンタールP (g) (1包40g・80g)</t>
    <phoneticPr fontId="2"/>
  </si>
  <si>
    <t>GFO (g) (1包15g)</t>
    <rPh sb="10" eb="11">
      <t>ホウ</t>
    </rPh>
    <phoneticPr fontId="2"/>
  </si>
  <si>
    <t>ji-efuo-</t>
    <phoneticPr fontId="2"/>
  </si>
  <si>
    <t>じーえふおー</t>
    <phoneticPr fontId="2"/>
  </si>
  <si>
    <t>NH4</t>
    <phoneticPr fontId="2"/>
  </si>
  <si>
    <t>mEq</t>
    <phoneticPr fontId="2"/>
  </si>
  <si>
    <t>mOsm</t>
    <phoneticPr fontId="2"/>
  </si>
  <si>
    <t>約3</t>
    <phoneticPr fontId="2"/>
  </si>
  <si>
    <t>計算浸透圧物質</t>
    <rPh sb="0" eb="2">
      <t>ケイサン</t>
    </rPh>
    <rPh sb="2" eb="5">
      <t>シントウアツ</t>
    </rPh>
    <rPh sb="5" eb="7">
      <t>ブッシツ</t>
    </rPh>
    <phoneticPr fontId="2"/>
  </si>
  <si>
    <t>10.6～11.6</t>
    <phoneticPr fontId="2"/>
  </si>
  <si>
    <t>5.0～7.0</t>
    <phoneticPr fontId="2"/>
  </si>
  <si>
    <t>生理食塩水</t>
    <phoneticPr fontId="2"/>
  </si>
  <si>
    <t>添付文書浸透圧物質</t>
    <rPh sb="0" eb="2">
      <t>テンプ</t>
    </rPh>
    <rPh sb="2" eb="4">
      <t>ブンショ</t>
    </rPh>
    <rPh sb="4" eb="7">
      <t>シントウアツ</t>
    </rPh>
    <rPh sb="7" eb="9">
      <t>ブッシツ</t>
    </rPh>
    <phoneticPr fontId="2"/>
  </si>
  <si>
    <t>-</t>
    <phoneticPr fontId="2"/>
  </si>
  <si>
    <t>-</t>
    <phoneticPr fontId="2"/>
  </si>
  <si>
    <t>5.0～7.5</t>
    <phoneticPr fontId="2"/>
  </si>
  <si>
    <t>エルネオパNF1号輸液</t>
    <phoneticPr fontId="2"/>
  </si>
  <si>
    <t>合計 (ml)</t>
    <rPh sb="0" eb="2">
      <t>ゴウケイ</t>
    </rPh>
    <phoneticPr fontId="2"/>
  </si>
  <si>
    <t>ボトル合計 (ml)</t>
    <rPh sb="3" eb="5">
      <t>ゴウケイ</t>
    </rPh>
    <phoneticPr fontId="2"/>
  </si>
  <si>
    <t>投与量 (ml)</t>
    <rPh sb="0" eb="3">
      <t>トウヨリョウ</t>
    </rPh>
    <phoneticPr fontId="2"/>
  </si>
  <si>
    <t>5.0 ～ 6.5</t>
    <phoneticPr fontId="2"/>
  </si>
  <si>
    <t>5.0 ～ 7.0</t>
    <phoneticPr fontId="2"/>
  </si>
  <si>
    <t>約6</t>
    <rPh sb="0" eb="1">
      <t>ヤク</t>
    </rPh>
    <phoneticPr fontId="2"/>
  </si>
  <si>
    <t>5.0 ～ 6.5</t>
    <phoneticPr fontId="2"/>
  </si>
  <si>
    <t>約2</t>
    <rPh sb="0" eb="1">
      <t>ヤク</t>
    </rPh>
    <phoneticPr fontId="2"/>
  </si>
  <si>
    <t>6.5～7.5</t>
    <phoneticPr fontId="2"/>
  </si>
  <si>
    <t>田辺三菱製薬</t>
    <phoneticPr fontId="2"/>
  </si>
  <si>
    <t>エレンタール (g) (1包80g)</t>
    <phoneticPr fontId="2"/>
  </si>
  <si>
    <t>約2</t>
    <phoneticPr fontId="2"/>
  </si>
  <si>
    <t>5.5 ～ 7.0</t>
    <phoneticPr fontId="2"/>
  </si>
  <si>
    <t>6.2～6.8</t>
    <phoneticPr fontId="2"/>
  </si>
  <si>
    <t xml:space="preserve">6.0～8.2  </t>
    <phoneticPr fontId="2"/>
  </si>
  <si>
    <t>約0.9</t>
    <phoneticPr fontId="2"/>
  </si>
  <si>
    <t>8.6～9.3</t>
    <phoneticPr fontId="2"/>
  </si>
  <si>
    <t>4.5 ～ 7.5</t>
    <phoneticPr fontId="2"/>
  </si>
  <si>
    <t>電解質補正液</t>
    <phoneticPr fontId="2"/>
  </si>
  <si>
    <t>4.0～5.0</t>
    <phoneticPr fontId="2"/>
  </si>
  <si>
    <t>約32</t>
  </si>
  <si>
    <t>7.0 ～ 8.5</t>
    <phoneticPr fontId="2"/>
  </si>
  <si>
    <t>6.5 ～ 8.5</t>
    <phoneticPr fontId="2"/>
  </si>
  <si>
    <t>ソルデム3A輸液</t>
    <phoneticPr fontId="2"/>
  </si>
  <si>
    <t>塩化ナトリウム10%</t>
    <phoneticPr fontId="2"/>
  </si>
  <si>
    <t>アミノ酸など</t>
    <rPh sb="3" eb="4">
      <t>サン</t>
    </rPh>
    <phoneticPr fontId="2"/>
  </si>
  <si>
    <t>計算の例外</t>
    <rPh sb="0" eb="2">
      <t>ケイサン</t>
    </rPh>
    <rPh sb="3" eb="5">
      <t>レイガイ</t>
    </rPh>
    <phoneticPr fontId="2"/>
  </si>
  <si>
    <t>HMS-1の商品説明に「極低出生体重児の未熟な腸管機能を考慮して、標準量添加後の強化母乳の浸透圧は約340mOsm／kgH2Oとなるよう調整しています。」となっているらしいので、あながち間違った浸透圧ではなさそう</t>
    <rPh sb="6" eb="8">
      <t>ショウヒン</t>
    </rPh>
    <rPh sb="8" eb="10">
      <t>セツメイ</t>
    </rPh>
    <rPh sb="93" eb="95">
      <t>マチガ</t>
    </rPh>
    <rPh sb="97" eb="100">
      <t>シントウアツ</t>
    </rPh>
    <phoneticPr fontId="2"/>
  </si>
  <si>
    <t>OS-1</t>
    <phoneticPr fontId="2"/>
  </si>
  <si>
    <t>おーえすわん</t>
    <phoneticPr fontId="2"/>
  </si>
  <si>
    <t>o-esuwan</t>
    <phoneticPr fontId="2"/>
  </si>
  <si>
    <t>えっちえむえす</t>
    <phoneticPr fontId="2"/>
  </si>
  <si>
    <t>eicchiemuesu</t>
    <phoneticPr fontId="2"/>
  </si>
  <si>
    <t>えむしーてぃーおいる</t>
    <phoneticPr fontId="2"/>
  </si>
  <si>
    <t>emushi-thi-oiru</t>
    <phoneticPr fontId="2"/>
  </si>
  <si>
    <t>けーえぬ１ごうゆえき</t>
  </si>
  <si>
    <t>けーえぬ２ごうゆえき</t>
  </si>
  <si>
    <t>けーえぬ３ごうゆえき</t>
  </si>
  <si>
    <t>けーえぬえむじー３ごうゆえき</t>
    <phoneticPr fontId="2"/>
  </si>
  <si>
    <t>けーえぬ４ごうゆえき</t>
    <phoneticPr fontId="2"/>
  </si>
  <si>
    <t>ke-enu1gouyueki</t>
  </si>
  <si>
    <t>ke-enu2gouyueki</t>
  </si>
  <si>
    <t>ke-enu3gouyueki</t>
  </si>
  <si>
    <t>ke-enu4gouyueki</t>
  </si>
  <si>
    <t>わいでぃーそりたＴ１ごうゆえき</t>
    <phoneticPr fontId="2"/>
  </si>
  <si>
    <t>waidhi-soritaT1gouyueki</t>
    <phoneticPr fontId="2"/>
  </si>
  <si>
    <t>いーえる３ごうゆえき</t>
    <phoneticPr fontId="2"/>
  </si>
  <si>
    <t>e-eru3gouyueki</t>
    <phoneticPr fontId="2"/>
  </si>
  <si>
    <t>１０％いーえる３ごうゆえき</t>
    <phoneticPr fontId="2"/>
  </si>
  <si>
    <t>10%e-eru3gouyueki</t>
    <phoneticPr fontId="2"/>
  </si>
  <si>
    <t>わいでぃーそりたＴ３ごうゆえき</t>
    <phoneticPr fontId="2"/>
  </si>
  <si>
    <t>waidhi-soritaT3gouyueki</t>
    <phoneticPr fontId="2"/>
  </si>
  <si>
    <t>わいでぃーそりたＴ３ごうＧゆえき</t>
    <phoneticPr fontId="2"/>
  </si>
  <si>
    <t>waidhi-soritaT3gouGyueki</t>
    <phoneticPr fontId="2"/>
  </si>
  <si>
    <t>ke-enuemuji-3gouyueki</t>
    <phoneticPr fontId="2"/>
  </si>
  <si>
    <t>けーしーえるほせいえき　（１ｍＥｑ・１ｍｌ）</t>
  </si>
  <si>
    <t>けーしーえるてんてきえき１５％</t>
  </si>
  <si>
    <t>けーしーえるほせいえききっと２０ｍＥｑ</t>
  </si>
  <si>
    <t>ke-shi-eruhoseieki (1mEq・1ml)</t>
    <phoneticPr fontId="2"/>
  </si>
  <si>
    <t>ke-shi-erutentekieki15%</t>
    <phoneticPr fontId="2"/>
  </si>
  <si>
    <t>ke-shi-eruhoseiekikitto20mEq</t>
    <phoneticPr fontId="2"/>
  </si>
  <si>
    <t>asuparaKariumuchuu10mEq</t>
    <phoneticPr fontId="2"/>
  </si>
  <si>
    <t>あすぱらかりうむちゅう１０ｍＥｑ</t>
    <phoneticPr fontId="2"/>
  </si>
  <si>
    <t>りゅうさんまぐねしうむほせいえき</t>
    <phoneticPr fontId="2"/>
  </si>
  <si>
    <t>ryuusanmaguneshiumuhoseieki</t>
    <phoneticPr fontId="2"/>
  </si>
  <si>
    <t>りんさんなとりうむほせいえき　（０．５ｍｍｏｌ・ｍｌ）</t>
    <phoneticPr fontId="2"/>
  </si>
  <si>
    <t>rinsanNatoriumuhoseieki (0.5mmol・ml)</t>
    <phoneticPr fontId="2"/>
  </si>
  <si>
    <t>えんかかるしうむほせいえき　（１ｍＥｑ・ｍｌ）</t>
    <phoneticPr fontId="2"/>
  </si>
  <si>
    <t>enkakarushiumuhoseieki (1mEq・ml)</t>
    <phoneticPr fontId="2"/>
  </si>
  <si>
    <t>にゅうさんなとりうむほせいえき　１ｍＥｑ・ｍｌ</t>
    <phoneticPr fontId="2"/>
  </si>
  <si>
    <t>nyuusannatoriumuhoseieki 1mEq・ml</t>
    <phoneticPr fontId="2"/>
  </si>
  <si>
    <t>NaCl</t>
    <phoneticPr fontId="2"/>
  </si>
  <si>
    <t>MgSO4</t>
    <phoneticPr fontId="2"/>
  </si>
  <si>
    <t>リン酸Na補正液 (0.5mmol/ml)</t>
    <phoneticPr fontId="2"/>
  </si>
  <si>
    <t>Na3PO4</t>
    <phoneticPr fontId="2"/>
  </si>
  <si>
    <t>リン酸2カリウム注</t>
    <phoneticPr fontId="2"/>
  </si>
  <si>
    <t>K2HPO4</t>
    <phoneticPr fontId="2"/>
  </si>
  <si>
    <t>CaCl2</t>
    <phoneticPr fontId="2"/>
  </si>
  <si>
    <t>NH4Cl</t>
    <phoneticPr fontId="2"/>
  </si>
  <si>
    <t>NaHCO3</t>
    <phoneticPr fontId="2"/>
  </si>
  <si>
    <t>CH3CH(OH)COONa</t>
    <phoneticPr fontId="2"/>
  </si>
  <si>
    <t>電解質表示</t>
    <rPh sb="0" eb="3">
      <t>デンカイシツ</t>
    </rPh>
    <rPh sb="3" eb="5">
      <t>ヒョウジ</t>
    </rPh>
    <phoneticPr fontId="2"/>
  </si>
  <si>
    <t>mg</t>
    <phoneticPr fontId="2"/>
  </si>
  <si>
    <t>g</t>
    <phoneticPr fontId="2"/>
  </si>
  <si>
    <t>Glucose/guruko-su</t>
    <phoneticPr fontId="2"/>
  </si>
  <si>
    <t>ビタミンB12注"Z" (µg)</t>
    <rPh sb="7" eb="8">
      <t>チュウ</t>
    </rPh>
    <phoneticPr fontId="2"/>
  </si>
  <si>
    <t>浸透圧 (生食比)</t>
  </si>
  <si>
    <t>セル選択</t>
    <rPh sb="2" eb="4">
      <t>センタク</t>
    </rPh>
    <phoneticPr fontId="2"/>
  </si>
  <si>
    <t>基本はNICUからの受取資料(公式案内を参照していると考えられる)。ナイアシン、ビオチン、マンガン、銅、ヨウ素は通販サイト参照。浸透圧は「粉ミルク比較ナビbyPINORU」より</t>
    <rPh sb="0" eb="2">
      <t>キホン</t>
    </rPh>
    <rPh sb="10" eb="12">
      <t>ウケトリ</t>
    </rPh>
    <rPh sb="12" eb="14">
      <t>シリョウ</t>
    </rPh>
    <rPh sb="15" eb="17">
      <t>コウシキ</t>
    </rPh>
    <rPh sb="17" eb="19">
      <t>アンナイ</t>
    </rPh>
    <rPh sb="20" eb="22">
      <t>サンショウ</t>
    </rPh>
    <rPh sb="27" eb="28">
      <t>カンガ</t>
    </rPh>
    <rPh sb="50" eb="51">
      <t>ドウ</t>
    </rPh>
    <rPh sb="54" eb="55">
      <t>ソ</t>
    </rPh>
    <rPh sb="56" eb="58">
      <t>ツウハン</t>
    </rPh>
    <rPh sb="61" eb="63">
      <t>サンショウ</t>
    </rPh>
    <phoneticPr fontId="2"/>
  </si>
  <si>
    <t>このファイルは、輸液や経口栄養などの電解質量・熱量などを計算する表計算ファイルです。</t>
  </si>
  <si>
    <t>太田垣昌志さんの「カロリー計子輸液処方版」を参考に作成しました。</t>
  </si>
  <si>
    <t>上記ファイルとの主な変更点は以下の通りです</t>
  </si>
  <si>
    <t>「頻用薬リスト」を作成した</t>
  </si>
  <si>
    <t>文字入力で輸液一覧が表示されるようにした</t>
  </si>
  <si>
    <t>「ボトル混合投与」欄を作った</t>
  </si>
  <si>
    <t>体重換算機能を作った</t>
  </si>
  <si>
    <t>アミノ酸分画、ビタミン、微量元素、浸透圧、電解質のグラム表示などの新たな項目を作った</t>
  </si>
  <si>
    <t xml:space="preserve">輸液一覧の多くは「輸液製剤協議会」の 「輸液製剤の組成一覧表」を元にしています。 </t>
  </si>
  <si>
    <t xml:space="preserve">一部は添付文書やインタビューフォームを参照しました。 </t>
  </si>
  <si>
    <t xml:space="preserve">本ファイルのトラブルによる損害は補償できませんが、今後のために報告してくれると助かります。 </t>
  </si>
  <si>
    <t>使用方法</t>
  </si>
  <si>
    <t>1. 「単剤投与」と「ボトル混合投与」</t>
  </si>
  <si>
    <r>
      <t>「単剤投与」</t>
    </r>
    <r>
      <rPr>
        <sz val="11"/>
        <color theme="1"/>
        <rFont val="ＭＳ Ｐゴシック"/>
        <family val="2"/>
        <charset val="128"/>
        <scheme val="minor"/>
      </rPr>
      <t>は単純に輸液を足し合わせた計算を行います。</t>
    </r>
  </si>
  <si>
    <r>
      <t xml:space="preserve">「ボトル混合投与」 </t>
    </r>
    <r>
      <rPr>
        <sz val="11"/>
        <color theme="1"/>
        <rFont val="ＭＳ Ｐゴシック"/>
        <family val="2"/>
        <charset val="128"/>
        <scheme val="minor"/>
      </rPr>
      <t>は混合した輸液を一部だけ使うときに使用します。</t>
    </r>
  </si>
  <si>
    <t>色々と混合した輸液を一定速度で持続点滴して、翌日に残りを廃棄するなどの場合にお使い下さい。</t>
  </si>
  <si>
    <t>2. 輸液の選択</t>
  </si>
  <si>
    <t>輸液の選択方法は3種類あります</t>
  </si>
  <si>
    <t>1. 頻用薬リスト</t>
  </si>
  <si>
    <r>
      <t>「輸液種類」「製品名」がともに空欄の状態で</t>
    </r>
    <r>
      <rPr>
        <sz val="11"/>
        <color theme="1"/>
        <rFont val="ＭＳ Ｐゴシック"/>
        <family val="2"/>
        <charset val="128"/>
        <scheme val="minor"/>
      </rPr>
      <t>「製品名」をダブルクリックすると、プルダウンリストに頻用薬リストが表示されます。</t>
    </r>
  </si>
  <si>
    <t>頻用薬リストは適宜修正できます。</t>
  </si>
  <si>
    <t>2. 文字入力</t>
  </si>
  <si>
    <r>
      <t>「製品名」に文字を入れると</t>
    </r>
    <r>
      <rPr>
        <sz val="11"/>
        <color theme="1"/>
        <rFont val="ＭＳ Ｐゴシック"/>
        <family val="2"/>
        <charset val="128"/>
        <scheme val="minor"/>
      </rPr>
      <t>、プルダウンリストにその文字を含む輸液一覧が表示されます。</t>
    </r>
  </si>
  <si>
    <t>製品名は表記の揺らぎにも多少対応しました。「ぐるこーす」「せいしょく」「しお」でも、それらしい製剤が表示されます。</t>
  </si>
  <si>
    <t>3. 輸液種類リスト</t>
  </si>
  <si>
    <r>
      <t>「輸液種類」を選択し「製品名」が空欄の状態で</t>
    </r>
    <r>
      <rPr>
        <sz val="11"/>
        <color theme="1"/>
        <rFont val="ＭＳ Ｐゴシック"/>
        <family val="2"/>
        <charset val="128"/>
        <scheme val="minor"/>
      </rPr>
      <t>「製品名」をダブルクリックすると、プルダウンリストに輸液種類ごとのリストが表示されます。</t>
    </r>
  </si>
  <si>
    <t>リストが上手く表示されないときは、入力したい「製品名」欄をダブルクリックしてみて下さい。</t>
  </si>
  <si>
    <t>「セル選択」の下に、現在選択している (とエクセルに認識されている) セル番地が表示されています。 操作がうまくいかないとき、確認して下さい。</t>
  </si>
  <si>
    <t>3. 投与量の設定</t>
  </si>
  <si>
    <t>「ボトル混合投与」に入力したときは、1日の投与量を入力して下さい。</t>
  </si>
  <si>
    <t>デフォルトで、全量投与時を設定しています。</t>
  </si>
  <si>
    <t>4. 浸透圧表示</t>
  </si>
  <si>
    <t>浸透圧表示を「生食比」と「mEq/L」で切り替えられます。</t>
  </si>
  <si>
    <t>浸透圧は、「輸液製剤の組成一覧表」や添付文書を参照しています。</t>
  </si>
  <si>
    <t>電解質量から計算した浸透圧と一致していないことがあります。</t>
  </si>
  <si>
    <t>5. 体重換算</t>
  </si>
  <si>
    <t>NICUなどで行う、体重当たりの投与量の計算にも対応しています。</t>
  </si>
  <si>
    <t>入力が200以上の時はグラム、200未満の時はkgとして計算します。</t>
  </si>
  <si>
    <t>6. 電解質表示</t>
  </si>
  <si>
    <t>電解質表示を、mEqとmgで切り替えられます。</t>
  </si>
  <si>
    <t>7. 頻用薬リスト</t>
  </si>
  <si>
    <t>「2. 輸液の選択」 での(2)の方法を使って製品名を入力して下さい</t>
  </si>
  <si>
    <t>8. ファイルの修正について</t>
  </si>
  <si>
    <t>その他</t>
  </si>
  <si>
    <t>再配布、改変は自由です。連絡も不要です。</t>
  </si>
  <si>
    <t>変更履歴</t>
  </si>
  <si>
    <t>ご意見・ご指摘はincus_@hotmail.comにお願いいたします。</t>
    <phoneticPr fontId="2"/>
  </si>
  <si>
    <t>右側の頻用薬リストは、自由に変更できます。</t>
    <rPh sb="0" eb="2">
      <t>ミギガワ</t>
    </rPh>
    <phoneticPr fontId="2"/>
  </si>
  <si>
    <t>ファイルの概要</t>
    <phoneticPr fontId="2"/>
  </si>
  <si>
    <t>原本はhttp://incus.starfree.jp/med/hydroponics/readme.htmで公開しています</t>
    <rPh sb="0" eb="2">
      <t>ゲンポン</t>
    </rPh>
    <rPh sb="55" eb="57">
      <t>コウカイ</t>
    </rPh>
    <phoneticPr fontId="2"/>
  </si>
  <si>
    <r>
      <t>また、</t>
    </r>
    <r>
      <rPr>
        <b/>
        <sz val="11"/>
        <color theme="1"/>
        <rFont val="ＭＳ Ｐゴシック"/>
        <family val="3"/>
        <charset val="128"/>
        <scheme val="minor"/>
      </rPr>
      <t>「製品名」に製品名のフルネームが入った上で</t>
    </r>
    <r>
      <rPr>
        <b/>
        <sz val="11"/>
        <color theme="1"/>
        <rFont val="ＭＳ Ｐゴシック"/>
        <family val="2"/>
        <charset val="128"/>
        <scheme val="minor"/>
      </rPr>
      <t xml:space="preserve"> (1</t>
    </r>
    <r>
      <rPr>
        <b/>
        <sz val="11"/>
        <color theme="1"/>
        <rFont val="ＭＳ Ｐゴシック"/>
        <family val="3"/>
        <charset val="128"/>
        <scheme val="minor"/>
      </rPr>
      <t>度製剤を選択した上で</t>
    </r>
    <r>
      <rPr>
        <b/>
        <sz val="11"/>
        <color theme="1"/>
        <rFont val="ＭＳ Ｐゴシック"/>
        <family val="2"/>
        <charset val="128"/>
        <scheme val="minor"/>
      </rPr>
      <t xml:space="preserve">) </t>
    </r>
    <r>
      <rPr>
        <sz val="11"/>
        <color theme="1"/>
        <rFont val="ＭＳ Ｐゴシック"/>
        <family val="2"/>
        <charset val="128"/>
        <scheme val="minor"/>
      </rPr>
      <t>ダブルクリックすると、プルダウンに類似薬(輸液種類ごとのリスト)が表示されます。</t>
    </r>
    <phoneticPr fontId="2"/>
  </si>
  <si>
    <t>えんかかりうむ</t>
    <phoneticPr fontId="2"/>
  </si>
  <si>
    <t>えんかかるしうむ</t>
    <phoneticPr fontId="2"/>
  </si>
  <si>
    <t>炭酸水素ナトリウム/重曹</t>
    <rPh sb="0" eb="4">
      <t>タンサンスイソ</t>
    </rPh>
    <rPh sb="10" eb="12">
      <t>ジュウソウ</t>
    </rPh>
    <phoneticPr fontId="2"/>
  </si>
  <si>
    <t>たんさんすいそなとりうむ/じゅうそう</t>
    <phoneticPr fontId="2"/>
  </si>
  <si>
    <t>アミノ酸製剤</t>
    <phoneticPr fontId="2"/>
  </si>
  <si>
    <t>ぐるこんさんかるしうむ</t>
    <phoneticPr fontId="2"/>
  </si>
  <si>
    <t>ネオラミン・マルチV・ダイメジン・マルチ (バイアル)</t>
  </si>
  <si>
    <t>ねおらみん・まるちＶ・だいめじん・まるち　（ばいある）</t>
    <phoneticPr fontId="2"/>
  </si>
  <si>
    <t>neoramin・maruchiV ・daimejin・maruchi(baiaru)</t>
    <phoneticPr fontId="2"/>
  </si>
  <si>
    <t>エレメンミックの量が1000倍異なっていたのを修正</t>
    <rPh sb="8" eb="9">
      <t>リョウ</t>
    </rPh>
    <rPh sb="14" eb="15">
      <t>バイ</t>
    </rPh>
    <rPh sb="15" eb="16">
      <t>コト</t>
    </rPh>
    <rPh sb="23" eb="25">
      <t>シュウセイ</t>
    </rPh>
    <phoneticPr fontId="2"/>
  </si>
  <si>
    <t>公開開始</t>
    <phoneticPr fontId="2"/>
  </si>
  <si>
    <t>GIR</t>
    <phoneticPr fontId="2"/>
  </si>
  <si>
    <t>mg/kg/min</t>
    <phoneticPr fontId="2"/>
  </si>
  <si>
    <t>高カロリー輸液などのリン量が10倍になっていたのを修正。GIR(ブドウ糖投与速度)も算出</t>
    <rPh sb="0" eb="1">
      <t>コウ</t>
    </rPh>
    <rPh sb="5" eb="7">
      <t>ユエキ</t>
    </rPh>
    <rPh sb="12" eb="13">
      <t>リョウ</t>
    </rPh>
    <rPh sb="16" eb="17">
      <t>バイ</t>
    </rPh>
    <rPh sb="25" eb="27">
      <t>シュウセイ</t>
    </rPh>
    <rPh sb="42" eb="44">
      <t>サンシュツ</t>
    </rPh>
    <phoneticPr fontId="2"/>
  </si>
  <si>
    <t>体重換算</t>
    <rPh sb="0" eb="2">
      <t>タイジュウ</t>
    </rPh>
    <rPh sb="2" eb="4">
      <t>カンザン</t>
    </rPh>
    <phoneticPr fontId="2"/>
  </si>
  <si>
    <t>Lactate</t>
  </si>
  <si>
    <t>Succinate</t>
  </si>
  <si>
    <t>Acetate</t>
  </si>
  <si>
    <t>Gluconate</t>
  </si>
  <si>
    <t>Citrate</t>
  </si>
  <si>
    <t>アクメインD注</t>
    <phoneticPr fontId="2"/>
  </si>
  <si>
    <t>メチコバール/メコバラミン (µg)</t>
    <phoneticPr fontId="2"/>
  </si>
  <si>
    <t>メチコバール/メコバラミン (µg)</t>
    <phoneticPr fontId="2"/>
  </si>
  <si>
    <t>めちこばーる・めこばらみん　（µｇ）</t>
    <phoneticPr fontId="2"/>
  </si>
  <si>
    <t>mechikoba-ru・mekobaramin (µg)</t>
    <phoneticPr fontId="2"/>
  </si>
  <si>
    <t>エレメンミック (ml) (2ml/A)</t>
    <phoneticPr fontId="2"/>
  </si>
  <si>
    <t>エレメンミック (ml) (2ml/A)</t>
    <phoneticPr fontId="2"/>
  </si>
  <si>
    <t>エレメンミック/ミネラリン/エレジェクト/シザナリン/ボルビックス/ミネラミック/ミネリック/メドレニック</t>
    <phoneticPr fontId="2"/>
  </si>
  <si>
    <t>えれめんみっく・みねらりん・えれじぇくと・しざなりん・ぼるびっくす・みねらみっく・みねりっく・めどれにっく</t>
  </si>
  <si>
    <t>eremenmikku・minerarin・erejekuto・shizanarin・borubikkusu・mineramikku・minerikku・medorenikku (2ml・A)</t>
    <phoneticPr fontId="2"/>
  </si>
  <si>
    <t>ネオラミン・マルチV・ダイメジン・マルチ (バイアル)</t>
    <phoneticPr fontId="2"/>
  </si>
  <si>
    <t>めいばらんすｍｉｎｉ</t>
    <phoneticPr fontId="2"/>
  </si>
  <si>
    <t>meibaransumini</t>
    <phoneticPr fontId="2"/>
  </si>
  <si>
    <t>アクメインD注</t>
  </si>
  <si>
    <t>あくめいんＤちゅう</t>
    <phoneticPr fontId="2"/>
  </si>
  <si>
    <t>akumeinDchuu</t>
    <phoneticPr fontId="2"/>
  </si>
  <si>
    <t>KCl/KCｌ</t>
    <phoneticPr fontId="2"/>
  </si>
  <si>
    <t>NPC/N比</t>
    <phoneticPr fontId="2"/>
  </si>
  <si>
    <t>非蛋白熱量(NPC)</t>
  </si>
  <si>
    <t>NPC/N比</t>
    <phoneticPr fontId="2"/>
  </si>
  <si>
    <t>ヴィーンDなどの陰イオンがLactateになっていたのでAcetateに直した。生理食塩水の浸透圧を308mEq/Lから285mEq/Lに変更した。数値を入れればすぐに体重換算できるようにした。経管栄養などで2価イオンの量が1/2になっていたので直した</t>
    <rPh sb="8" eb="9">
      <t>イン</t>
    </rPh>
    <rPh sb="36" eb="37">
      <t>ナオ</t>
    </rPh>
    <rPh sb="40" eb="45">
      <t>セイリショクエンスイ</t>
    </rPh>
    <rPh sb="46" eb="49">
      <t>シントウアツ</t>
    </rPh>
    <rPh sb="69" eb="71">
      <t>ヘンコウ</t>
    </rPh>
    <rPh sb="74" eb="76">
      <t>スウチ</t>
    </rPh>
    <rPh sb="77" eb="78">
      <t>イ</t>
    </rPh>
    <rPh sb="97" eb="101">
      <t>ケイカンエイヨウ</t>
    </rPh>
    <rPh sb="105" eb="106">
      <t>カ</t>
    </rPh>
    <rPh sb="110" eb="111">
      <t>リョウ</t>
    </rPh>
    <rPh sb="123" eb="124">
      <t>ナオ</t>
    </rPh>
    <phoneticPr fontId="2"/>
  </si>
  <si>
    <t>ハルトマン輸液「NP」</t>
    <phoneticPr fontId="2"/>
  </si>
  <si>
    <t>細胞外液</t>
    <phoneticPr fontId="2"/>
  </si>
  <si>
    <t>kg or g</t>
    <phoneticPr fontId="2"/>
  </si>
  <si>
    <t>体重を入力したときのみ体重換算を行うようにした。栄養剤の追加。</t>
    <phoneticPr fontId="2"/>
  </si>
  <si>
    <t>明治のサイトより。</t>
    <rPh sb="0" eb="2">
      <t>メイジ</t>
    </rPh>
    <phoneticPr fontId="2"/>
  </si>
  <si>
    <t>メイバランスmini (コーンスープ味)</t>
  </si>
  <si>
    <t>メイバランスmini (コーンスープ味)</t>
    <phoneticPr fontId="2"/>
  </si>
  <si>
    <t>メイバランスmini (コーヒー味、ストロベリー味、バナナ味、ヨーグルト味、キャラメル味、ぶどう味、ココア味)</t>
    <rPh sb="16" eb="17">
      <t>アジ</t>
    </rPh>
    <rPh sb="24" eb="25">
      <t>アジ</t>
    </rPh>
    <rPh sb="29" eb="30">
      <t>アジ</t>
    </rPh>
    <rPh sb="36" eb="37">
      <t>アジ</t>
    </rPh>
    <rPh sb="43" eb="44">
      <t>アジ</t>
    </rPh>
    <rPh sb="48" eb="49">
      <t>アジ</t>
    </rPh>
    <rPh sb="53" eb="54">
      <t>アジ</t>
    </rPh>
    <phoneticPr fontId="2"/>
  </si>
  <si>
    <t>めいばらんすｍｉｎｉ　こーんすーぷあじ</t>
    <phoneticPr fontId="2"/>
  </si>
  <si>
    <t>meibaransumini ko-nsu-puaji</t>
    <phoneticPr fontId="2"/>
  </si>
  <si>
    <t xml:space="preserve">「体重換算」の下に体重を数値のみで入力して下さい。 </t>
    <phoneticPr fontId="2"/>
  </si>
  <si>
    <t xml:space="preserve">新たな点滴や栄養剤などを入れたいときは、「検索語句」シートや「輸液一覧表」シートを頑張って修正して下さい。 </t>
  </si>
  <si>
    <t xml:space="preserve">輸液の追加 </t>
    <phoneticPr fontId="2"/>
  </si>
  <si>
    <t xml:space="preserve"> 「輸液一覧表」シートを変更して下さい。</t>
  </si>
  <si>
    <t>基本的に、灰色部分(図での16行目)を右クリックして1行挿入して、必要内容を各々書いていけば大丈夫です。</t>
  </si>
  <si>
    <t>「輸液一覧表」の「製品名」(B列)に任意の製剤名を入れて「一単位」(1袋あたりの量や1Lなど)や各電解質等のデータを入力して下さい。これが「一単位」あたりの量となります。</t>
  </si>
  <si>
    <t>「製品名」セルの「名前」が「輸液種類」となっていることを確認して下さい。輸液種類リスト輸液を選択するときに使います。</t>
  </si>
  <si>
    <t xml:space="preserve">「製品名」の左隣に「輸液種類」が書かれていることを確認して下さい。製品名のフルネームが入った上で類似薬を選択するときに使います。 </t>
  </si>
  <si>
    <t xml:space="preserve"> 検索語句の追加</t>
  </si>
  <si>
    <t>「入力欄」を編集するときは、 「シート保護の解除」を行って下さい。</t>
  </si>
  <si>
    <t>「製品名」(A列)には、「輸液一覧表」の「製品名」をそのまま入れて下さい。</t>
  </si>
  <si>
    <t>B列からG列にかけて、検索させたいキーワードを入れて下さい。</t>
  </si>
  <si>
    <t>「Score](I列)の小さい順にリストで表示されます。</t>
  </si>
  <si>
    <r>
      <t>「シートの保護」に戻す際に「ロックされたセル範囲の選択」「ロックされていないセル範囲の選択」に加えて</t>
    </r>
    <r>
      <rPr>
        <b/>
        <sz val="11"/>
        <color theme="1"/>
        <rFont val="ＭＳ Ｐゴシック"/>
        <family val="3"/>
        <charset val="128"/>
        <scheme val="minor"/>
      </rPr>
      <t>「オブジェクトの編集」</t>
    </r>
    <r>
      <rPr>
        <sz val="11"/>
        <color theme="1"/>
        <rFont val="ＭＳ Ｐゴシック"/>
        <family val="2"/>
        <charset val="128"/>
        <scheme val="minor"/>
      </rPr>
      <t xml:space="preserve">にもチェックを入れて下さい </t>
    </r>
    <phoneticPr fontId="2"/>
  </si>
  <si>
    <t>モル</t>
  </si>
  <si>
    <t>ビーフリード、パレプラスのビタミンB1量を入力</t>
    <rPh sb="19" eb="20">
      <t>リョウ</t>
    </rPh>
    <rPh sb="21" eb="23">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</si>
</sst>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0">
    <font>
      <sz val="11"/>
      <color theme="1"/>
      <name val="ＭＳ Ｐゴシック"/>
      <family val="2"/>
      <charset val="128"/>
      <scheme val="minor"/>
    </font>
    <font>
      <b/>
      <sz val="11"/>
      <color theme="0"/>
      <name val="ＭＳ Ｐゴシック"/>
      <family val="2"/>
      <charset val="128"/>
      <scheme val="minor"/>
    </font>
    <font>
      <sz val="6"/>
      <name val="ＭＳ Ｐゴシック"/>
      <family val="2"/>
      <charset val="128"/>
      <scheme val="minor"/>
    </font>
    <font>
      <sz val="11"/>
      <color rgb="FF9C6500"/>
      <name val="ＭＳ Ｐゴシック"/>
      <family val="2"/>
      <charset val="128"/>
      <scheme val="minor"/>
    </font>
    <font>
      <sz val="11"/>
      <color rgb="FFFF0000"/>
      <name val="ＭＳ Ｐゴシック"/>
      <family val="2"/>
      <charset val="128"/>
      <scheme val="minor"/>
    </font>
    <font>
      <sz val="11"/>
      <name val="ＭＳ Ｐゴシック"/>
      <family val="3"/>
      <charset val="128"/>
    </font>
    <font>
      <sz val="12"/>
      <name val="Osaka"/>
      <family val="3"/>
      <charset val="128"/>
    </font>
    <font>
      <sz val="18"/>
      <color theme="0"/>
      <name val="ＭＳ Ｐゴシック"/>
      <family val="2"/>
      <charset val="128"/>
      <scheme val="minor"/>
    </font>
    <font>
      <sz val="18"/>
      <color theme="0"/>
      <name val="ＭＳ Ｐゴシック"/>
      <family val="3"/>
      <charset val="128"/>
      <scheme val="minor"/>
    </font>
    <font>
      <b/>
      <sz val="11"/>
      <color theme="1"/>
      <name val="ＭＳ Ｐゴシック"/>
      <family val="3"/>
      <charset val="128"/>
      <scheme val="minor"/>
    </font>
    <font>
      <sz val="11"/>
      <color rgb="FF0000FF"/>
      <name val="ＭＳ Ｐゴシック"/>
      <family val="2"/>
      <charset val="128"/>
      <scheme val="minor"/>
    </font>
    <font>
      <sz val="11"/>
      <color rgb="FF0000FF"/>
      <name val="ＭＳ Ｐゴシック"/>
      <family val="3"/>
      <charset val="128"/>
      <scheme val="minor"/>
    </font>
    <font>
      <b/>
      <sz val="11"/>
      <color theme="9" tint="-0.249977111117893"/>
      <name val="ＭＳ Ｐゴシック"/>
      <family val="3"/>
      <charset val="128"/>
      <scheme val="minor"/>
    </font>
    <font>
      <sz val="16"/>
      <color theme="0"/>
      <name val="ＭＳ Ｐゴシック"/>
      <family val="2"/>
      <charset val="128"/>
      <scheme val="minor"/>
    </font>
    <font>
      <sz val="11"/>
      <color theme="0" tint="-4.9989318521683403E-2"/>
      <name val="ＭＳ Ｐゴシック"/>
      <family val="2"/>
      <charset val="128"/>
      <scheme val="minor"/>
    </font>
    <font>
      <sz val="11"/>
      <color theme="1"/>
      <name val="ＭＳ Ｐゴシック"/>
      <family val="3"/>
      <charset val="128"/>
      <scheme val="minor"/>
    </font>
    <font>
      <sz val="11"/>
      <color theme="0"/>
      <name val="ＭＳ Ｐゴシック"/>
      <family val="2"/>
      <charset val="128"/>
      <scheme val="minor"/>
    </font>
    <font>
      <b/>
      <sz val="18"/>
      <color theme="1"/>
      <name val="ＭＳ Ｐゴシック"/>
      <family val="3"/>
      <charset val="128"/>
      <scheme val="minor"/>
    </font>
    <font>
      <u/>
      <sz val="11"/>
      <color theme="10"/>
      <name val="ＭＳ Ｐゴシック"/>
      <family val="2"/>
      <charset val="128"/>
      <scheme val="minor"/>
    </font>
    <font>
      <b/>
      <sz val="11"/>
      <color theme="1"/>
      <name val="ＭＳ Ｐゴシック"/>
      <family val="2"/>
      <charset val="128"/>
      <scheme val="minor"/>
    </font>
  </fonts>
  <fills count="1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C00000"/>
        <bgColor indexed="64"/>
      </patternFill>
    </fill>
    <fill>
      <patternFill patternType="solid">
        <fgColor theme="7" tint="-0.249977111117893"/>
        <bgColor indexed="64"/>
      </patternFill>
    </fill>
    <fill>
      <patternFill patternType="solid">
        <fgColor rgb="FFFFFFCC"/>
        <bgColor indexed="64"/>
      </patternFill>
    </fill>
    <fill>
      <patternFill patternType="solid">
        <fgColor rgb="FFFFCCFF"/>
        <bgColor indexed="64"/>
      </patternFill>
    </fill>
    <fill>
      <patternFill patternType="solid">
        <fgColor rgb="FFFF0000"/>
        <bgColor indexed="64"/>
      </patternFill>
    </fill>
    <fill>
      <patternFill patternType="solid">
        <fgColor rgb="FF7030A0"/>
        <bgColor indexed="64"/>
      </patternFill>
    </fill>
    <fill>
      <patternFill patternType="solid">
        <fgColor theme="9" tint="-0.499984740745262"/>
        <bgColor indexed="64"/>
      </patternFill>
    </fill>
    <fill>
      <patternFill patternType="solid">
        <fgColor theme="8" tint="-0.499984740745262"/>
        <bgColor indexed="64"/>
      </patternFill>
    </fill>
    <fill>
      <patternFill patternType="solid">
        <fgColor theme="1" tint="0.24994659260841701"/>
        <bgColor indexed="64"/>
      </patternFill>
    </fill>
  </fills>
  <borders count="88">
    <border>
      <left/>
      <right/>
      <top/>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medium">
        <color theme="9" tint="-0.249977111117893"/>
      </left>
      <right style="thin">
        <color theme="9" tint="-0.249977111117893"/>
      </right>
      <top style="medium">
        <color theme="9" tint="-0.249977111117893"/>
      </top>
      <bottom style="thin">
        <color theme="9" tint="-0.249977111117893"/>
      </bottom>
      <diagonal/>
    </border>
    <border>
      <left style="thin">
        <color theme="9" tint="-0.249977111117893"/>
      </left>
      <right style="thin">
        <color theme="9" tint="-0.249977111117893"/>
      </right>
      <top style="medium">
        <color theme="9" tint="-0.249977111117893"/>
      </top>
      <bottom style="thin">
        <color theme="9" tint="-0.249977111117893"/>
      </bottom>
      <diagonal/>
    </border>
    <border>
      <left style="thin">
        <color theme="9" tint="-0.249977111117893"/>
      </left>
      <right style="medium">
        <color theme="9" tint="-0.249977111117893"/>
      </right>
      <top style="medium">
        <color theme="9" tint="-0.249977111117893"/>
      </top>
      <bottom style="thin">
        <color theme="9" tint="-0.249977111117893"/>
      </bottom>
      <diagonal/>
    </border>
    <border>
      <left style="medium">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style="medium">
        <color theme="9" tint="-0.249977111117893"/>
      </right>
      <top style="thin">
        <color theme="9" tint="-0.249977111117893"/>
      </top>
      <bottom style="thin">
        <color theme="9" tint="-0.249977111117893"/>
      </bottom>
      <diagonal/>
    </border>
    <border>
      <left style="medium">
        <color theme="9" tint="-0.249977111117893"/>
      </left>
      <right style="thin">
        <color theme="9" tint="-0.249977111117893"/>
      </right>
      <top style="thin">
        <color theme="9" tint="-0.249977111117893"/>
      </top>
      <bottom style="double">
        <color theme="9" tint="-0.249977111117893"/>
      </bottom>
      <diagonal/>
    </border>
    <border>
      <left style="thin">
        <color theme="9" tint="-0.249977111117893"/>
      </left>
      <right style="thin">
        <color theme="9" tint="-0.249977111117893"/>
      </right>
      <top style="thin">
        <color theme="9" tint="-0.249977111117893"/>
      </top>
      <bottom style="double">
        <color theme="9" tint="-0.249977111117893"/>
      </bottom>
      <diagonal/>
    </border>
    <border>
      <left style="thin">
        <color theme="9" tint="-0.249977111117893"/>
      </left>
      <right style="medium">
        <color theme="9" tint="-0.249977111117893"/>
      </right>
      <top style="thin">
        <color theme="9" tint="-0.249977111117893"/>
      </top>
      <bottom style="double">
        <color theme="9" tint="-0.249977111117893"/>
      </bottom>
      <diagonal/>
    </border>
    <border>
      <left style="medium">
        <color theme="9" tint="-0.249977111117893"/>
      </left>
      <right style="thin">
        <color theme="9" tint="-0.249977111117893"/>
      </right>
      <top/>
      <bottom style="medium">
        <color theme="9" tint="-0.249977111117893"/>
      </bottom>
      <diagonal/>
    </border>
    <border>
      <left style="thin">
        <color theme="9" tint="-0.249977111117893"/>
      </left>
      <right style="thin">
        <color theme="9" tint="-0.249977111117893"/>
      </right>
      <top/>
      <bottom style="medium">
        <color theme="9" tint="-0.249977111117893"/>
      </bottom>
      <diagonal/>
    </border>
    <border>
      <left style="thin">
        <color theme="9" tint="-0.249977111117893"/>
      </left>
      <right style="medium">
        <color theme="9" tint="-0.249977111117893"/>
      </right>
      <top/>
      <bottom style="medium">
        <color theme="9" tint="-0.249977111117893"/>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medium">
        <color theme="8" tint="-0.499984740745262"/>
      </left>
      <right style="thin">
        <color theme="8" tint="-0.499984740745262"/>
      </right>
      <top style="medium">
        <color theme="8" tint="-0.499984740745262"/>
      </top>
      <bottom style="thin">
        <color theme="8" tint="-0.499984740745262"/>
      </bottom>
      <diagonal/>
    </border>
    <border>
      <left style="thin">
        <color theme="8" tint="-0.499984740745262"/>
      </left>
      <right style="thin">
        <color theme="8" tint="-0.499984740745262"/>
      </right>
      <top style="medium">
        <color theme="8" tint="-0.499984740745262"/>
      </top>
      <bottom style="thin">
        <color theme="8" tint="-0.499984740745262"/>
      </bottom>
      <diagonal/>
    </border>
    <border>
      <left style="thin">
        <color theme="8" tint="-0.499984740745262"/>
      </left>
      <right style="medium">
        <color theme="8" tint="-0.499984740745262"/>
      </right>
      <top style="medium">
        <color theme="8" tint="-0.499984740745262"/>
      </top>
      <bottom style="thin">
        <color theme="8" tint="-0.499984740745262"/>
      </bottom>
      <diagonal/>
    </border>
    <border>
      <left style="thin">
        <color theme="8" tint="-0.499984740745262"/>
      </left>
      <right style="medium">
        <color theme="8" tint="-0.499984740745262"/>
      </right>
      <top style="thin">
        <color theme="8" tint="-0.499984740745262"/>
      </top>
      <bottom style="thin">
        <color theme="8" tint="-0.499984740745262"/>
      </bottom>
      <diagonal/>
    </border>
    <border>
      <left style="thin">
        <color theme="8" tint="-0.499984740745262"/>
      </left>
      <right style="medium">
        <color theme="8" tint="-0.499984740745262"/>
      </right>
      <top style="thin">
        <color theme="8" tint="-0.499984740745262"/>
      </top>
      <bottom style="medium">
        <color theme="8" tint="-0.4999847407452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double">
        <color indexed="64"/>
      </right>
      <top style="double">
        <color indexed="64"/>
      </top>
      <bottom style="thin">
        <color indexed="64"/>
      </bottom>
      <diagonal/>
    </border>
    <border>
      <left style="medium">
        <color theme="8" tint="-0.499984740745262"/>
      </left>
      <right style="thin">
        <color theme="8" tint="-0.499984740745262"/>
      </right>
      <top style="thin">
        <color theme="8" tint="-0.499984740745262"/>
      </top>
      <bottom style="double">
        <color theme="8" tint="-0.499984740745262"/>
      </bottom>
      <diagonal/>
    </border>
    <border>
      <left style="thin">
        <color theme="8" tint="-0.499984740745262"/>
      </left>
      <right style="thin">
        <color theme="8" tint="-0.499984740745262"/>
      </right>
      <top style="thin">
        <color theme="8" tint="-0.499984740745262"/>
      </top>
      <bottom style="double">
        <color theme="8" tint="-0.499984740745262"/>
      </bottom>
      <diagonal/>
    </border>
    <border>
      <left style="thin">
        <color theme="8" tint="-0.499984740745262"/>
      </left>
      <right style="medium">
        <color theme="8" tint="-0.499984740745262"/>
      </right>
      <top style="thin">
        <color theme="8" tint="-0.499984740745262"/>
      </top>
      <bottom style="double">
        <color theme="8" tint="-0.499984740745262"/>
      </bottom>
      <diagonal/>
    </border>
    <border>
      <left style="medium">
        <color rgb="FFC00000"/>
      </left>
      <right style="medium">
        <color rgb="FFC00000"/>
      </right>
      <top/>
      <bottom style="medium">
        <color rgb="FFC00000"/>
      </bottom>
      <diagonal/>
    </border>
    <border>
      <left style="medium">
        <color theme="7" tint="-0.249977111117893"/>
      </left>
      <right/>
      <top style="medium">
        <color theme="7" tint="-0.249977111117893"/>
      </top>
      <bottom/>
      <diagonal/>
    </border>
    <border>
      <left/>
      <right/>
      <top style="medium">
        <color theme="7" tint="-0.249977111117893"/>
      </top>
      <bottom/>
      <diagonal/>
    </border>
    <border>
      <left/>
      <right style="medium">
        <color theme="7" tint="-0.249977111117893"/>
      </right>
      <top style="medium">
        <color theme="7" tint="-0.249977111117893"/>
      </top>
      <bottom/>
      <diagonal/>
    </border>
    <border>
      <left style="medium">
        <color theme="7" tint="-0.249977111117893"/>
      </left>
      <right/>
      <top style="double">
        <color theme="7" tint="-0.249977111117893"/>
      </top>
      <bottom style="thin">
        <color theme="7" tint="-0.249977111117893"/>
      </bottom>
      <diagonal/>
    </border>
    <border>
      <left/>
      <right/>
      <top style="double">
        <color theme="7" tint="-0.249977111117893"/>
      </top>
      <bottom style="thin">
        <color theme="7" tint="-0.249977111117893"/>
      </bottom>
      <diagonal/>
    </border>
    <border>
      <left/>
      <right style="medium">
        <color theme="7" tint="-0.249977111117893"/>
      </right>
      <top style="double">
        <color theme="7" tint="-0.249977111117893"/>
      </top>
      <bottom style="thin">
        <color theme="7" tint="-0.249977111117893"/>
      </bottom>
      <diagonal/>
    </border>
    <border>
      <left style="medium">
        <color theme="7" tint="-0.249977111117893"/>
      </left>
      <right/>
      <top style="thin">
        <color theme="7" tint="-0.249977111117893"/>
      </top>
      <bottom style="thin">
        <color theme="7" tint="-0.249977111117893"/>
      </bottom>
      <diagonal/>
    </border>
    <border>
      <left/>
      <right/>
      <top style="thin">
        <color theme="7" tint="-0.249977111117893"/>
      </top>
      <bottom style="thin">
        <color theme="7" tint="-0.249977111117893"/>
      </bottom>
      <diagonal/>
    </border>
    <border>
      <left/>
      <right style="medium">
        <color theme="7" tint="-0.249977111117893"/>
      </right>
      <top style="thin">
        <color theme="7" tint="-0.249977111117893"/>
      </top>
      <bottom style="thin">
        <color theme="7" tint="-0.249977111117893"/>
      </bottom>
      <diagonal/>
    </border>
    <border>
      <left/>
      <right/>
      <top style="medium">
        <color indexed="64"/>
      </top>
      <bottom/>
      <diagonal/>
    </border>
    <border>
      <left style="medium">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theme="8" tint="-0.499984740745262"/>
      </left>
      <right style="thin">
        <color theme="9" tint="-0.249977111117893"/>
      </right>
      <top style="double">
        <color theme="8" tint="-0.499984740745262"/>
      </top>
      <bottom style="thin">
        <color theme="8" tint="-0.499984740745262"/>
      </bottom>
      <diagonal/>
    </border>
    <border>
      <left style="thin">
        <color theme="8" tint="-0.499984740745262"/>
      </left>
      <right style="thin">
        <color theme="8" tint="-0.499984740745262"/>
      </right>
      <top style="double">
        <color theme="8" tint="-0.499984740745262"/>
      </top>
      <bottom style="thin">
        <color theme="8" tint="-0.499984740745262"/>
      </bottom>
      <diagonal/>
    </border>
    <border>
      <left style="thin">
        <color theme="8" tint="-0.499984740745262"/>
      </left>
      <right style="medium">
        <color theme="8" tint="-0.499984740745262"/>
      </right>
      <top style="double">
        <color theme="8" tint="-0.499984740745262"/>
      </top>
      <bottom style="thin">
        <color theme="8" tint="-0.499984740745262"/>
      </bottom>
      <diagonal/>
    </border>
    <border>
      <left style="medium">
        <color theme="8" tint="-0.499984740745262"/>
      </left>
      <right style="thin">
        <color theme="9" tint="-0.249977111117893"/>
      </right>
      <top style="thin">
        <color theme="8" tint="-0.499984740745262"/>
      </top>
      <bottom style="thin">
        <color theme="8" tint="-0.499984740745262"/>
      </bottom>
      <diagonal/>
    </border>
    <border>
      <left style="medium">
        <color theme="8" tint="-0.499984740745262"/>
      </left>
      <right style="thin">
        <color theme="8" tint="-0.499984740745262"/>
      </right>
      <top style="thin">
        <color theme="8" tint="-0.499984740745262"/>
      </top>
      <bottom style="thin">
        <color theme="8" tint="-0.499984740745262"/>
      </bottom>
      <diagonal/>
    </border>
    <border>
      <left style="medium">
        <color theme="8" tint="-0.499984740745262"/>
      </left>
      <right style="thin">
        <color theme="8" tint="-0.499984740745262"/>
      </right>
      <top style="thin">
        <color theme="8" tint="-0.499984740745262"/>
      </top>
      <bottom/>
      <diagonal/>
    </border>
    <border>
      <left style="thin">
        <color theme="8" tint="-0.499984740745262"/>
      </left>
      <right style="thin">
        <color theme="8" tint="-0.499984740745262"/>
      </right>
      <top style="thin">
        <color theme="8" tint="-0.499984740745262"/>
      </top>
      <bottom/>
      <diagonal/>
    </border>
    <border>
      <left style="thin">
        <color theme="8" tint="-0.499984740745262"/>
      </left>
      <right style="medium">
        <color theme="8" tint="-0.499984740745262"/>
      </right>
      <top style="thin">
        <color theme="8" tint="-0.499984740745262"/>
      </top>
      <bottom/>
      <diagonal/>
    </border>
    <border>
      <left style="medium">
        <color theme="8" tint="-0.499984740745262"/>
      </left>
      <right style="thin">
        <color theme="8" tint="-0.499984740745262"/>
      </right>
      <top style="double">
        <color theme="8" tint="-0.499984740745262"/>
      </top>
      <bottom style="thin">
        <color theme="8" tint="-0.499984740745262"/>
      </bottom>
      <diagonal/>
    </border>
    <border>
      <left style="thick">
        <color rgb="FF7030A0"/>
      </left>
      <right style="thick">
        <color rgb="FF7030A0"/>
      </right>
      <top style="thick">
        <color rgb="FF7030A0"/>
      </top>
      <bottom style="thin">
        <color rgb="FF7030A0"/>
      </bottom>
      <diagonal/>
    </border>
    <border>
      <left style="thick">
        <color rgb="FF7030A0"/>
      </left>
      <right style="thick">
        <color rgb="FF7030A0"/>
      </right>
      <top style="thin">
        <color rgb="FF7030A0"/>
      </top>
      <bottom style="thick">
        <color rgb="FF7030A0"/>
      </bottom>
      <diagonal/>
    </border>
    <border>
      <left style="medium">
        <color theme="7" tint="-0.249977111117893"/>
      </left>
      <right/>
      <top/>
      <bottom style="medium">
        <color theme="7" tint="-0.249977111117893"/>
      </bottom>
      <diagonal/>
    </border>
    <border>
      <left/>
      <right/>
      <top/>
      <bottom style="medium">
        <color theme="7" tint="-0.249977111117893"/>
      </bottom>
      <diagonal/>
    </border>
    <border>
      <left/>
      <right style="medium">
        <color theme="7" tint="-0.249977111117893"/>
      </right>
      <top/>
      <bottom style="medium">
        <color theme="7" tint="-0.249977111117893"/>
      </bottom>
      <diagonal/>
    </border>
    <border>
      <left style="medium">
        <color theme="9" tint="-0.249977111117893"/>
      </left>
      <right style="thin">
        <color theme="9" tint="-0.249977111117893"/>
      </right>
      <top style="thin">
        <color theme="9" tint="-0.249977111117893"/>
      </top>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style="medium">
        <color theme="9" tint="-0.249977111117893"/>
      </right>
      <top style="thin">
        <color theme="9" tint="-0.249977111117893"/>
      </top>
      <bottom/>
      <diagonal/>
    </border>
    <border>
      <left style="medium">
        <color theme="9" tint="-0.249977111117893"/>
      </left>
      <right style="thin">
        <color theme="9" tint="-0.249977111117893"/>
      </right>
      <top style="double">
        <color theme="9" tint="-0.249977111117893"/>
      </top>
      <bottom style="thin">
        <color theme="9" tint="-0.249977111117893"/>
      </bottom>
      <diagonal/>
    </border>
    <border>
      <left style="thin">
        <color theme="9" tint="-0.249977111117893"/>
      </left>
      <right style="thin">
        <color theme="9" tint="-0.249977111117893"/>
      </right>
      <top style="double">
        <color theme="9" tint="-0.249977111117893"/>
      </top>
      <bottom style="thin">
        <color theme="9" tint="-0.249977111117893"/>
      </bottom>
      <diagonal/>
    </border>
    <border>
      <left style="thin">
        <color theme="9" tint="-0.249977111117893"/>
      </left>
      <right style="medium">
        <color theme="9" tint="-0.249977111117893"/>
      </right>
      <top style="double">
        <color theme="9" tint="-0.249977111117893"/>
      </top>
      <bottom style="thin">
        <color theme="9" tint="-0.249977111117893"/>
      </bottom>
      <diagonal/>
    </border>
    <border>
      <left style="medium">
        <color theme="8" tint="-0.499984740745262"/>
      </left>
      <right/>
      <top style="thin">
        <color theme="8" tint="-0.499984740745262"/>
      </top>
      <bottom style="medium">
        <color theme="8" tint="-0.499984740745262"/>
      </bottom>
      <diagonal/>
    </border>
    <border>
      <left/>
      <right style="thin">
        <color theme="8" tint="-0.499984740745262"/>
      </right>
      <top style="thin">
        <color theme="8" tint="-0.499984740745262"/>
      </top>
      <bottom style="medium">
        <color theme="8" tint="-0.499984740745262"/>
      </bottom>
      <diagonal/>
    </border>
    <border>
      <left style="medium">
        <color theme="8" tint="-0.499984740745262"/>
      </left>
      <right/>
      <top style="thin">
        <color theme="8" tint="-0.499984740745262"/>
      </top>
      <bottom/>
      <diagonal/>
    </border>
    <border>
      <left/>
      <right style="thin">
        <color theme="8" tint="-0.499984740745262"/>
      </right>
      <top style="thin">
        <color theme="8" tint="-0.499984740745262"/>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C00000"/>
      </left>
      <right style="medium">
        <color rgb="FFC00000"/>
      </right>
      <top style="medium">
        <color rgb="FFC00000"/>
      </top>
      <bottom style="medium">
        <color rgb="FFC00000"/>
      </bottom>
      <diagonal/>
    </border>
  </borders>
  <cellStyleXfs count="3">
    <xf numFmtId="0" fontId="0" fillId="0" borderId="0">
      <alignment vertical="center"/>
    </xf>
    <xf numFmtId="0" fontId="5" fillId="0" borderId="0"/>
    <xf numFmtId="0" fontId="18" fillId="0" borderId="0" applyNumberFormat="0" applyFill="0" applyBorder="0" applyAlignment="0" applyProtection="0">
      <alignment vertical="center"/>
    </xf>
  </cellStyleXfs>
  <cellXfs count="129">
    <xf numFmtId="0" fontId="0" fillId="0" borderId="0" xfId="0">
      <alignment vertical="center"/>
    </xf>
    <xf numFmtId="0" fontId="0" fillId="0" borderId="0" xfId="0" applyAlignment="1"/>
    <xf numFmtId="0" fontId="0" fillId="2" borderId="0" xfId="0" applyFill="1">
      <alignment vertical="center"/>
    </xf>
    <xf numFmtId="0" fontId="0" fillId="0" borderId="0" xfId="0" quotePrefix="1" applyAlignment="1"/>
    <xf numFmtId="0" fontId="6" fillId="0" borderId="0" xfId="1" applyFont="1"/>
    <xf numFmtId="0" fontId="0" fillId="3" borderId="0" xfId="0" applyFill="1">
      <alignment vertical="center"/>
    </xf>
    <xf numFmtId="0" fontId="0" fillId="4" borderId="0" xfId="0" applyFill="1">
      <alignment vertical="center"/>
    </xf>
    <xf numFmtId="0" fontId="0" fillId="0" borderId="1" xfId="0" applyBorder="1" applyProtection="1">
      <alignment vertical="center"/>
      <protection locked="0"/>
    </xf>
    <xf numFmtId="0" fontId="0" fillId="0" borderId="5" xfId="0" applyBorder="1" applyProtection="1">
      <alignment vertical="center"/>
      <protection locked="0"/>
    </xf>
    <xf numFmtId="0" fontId="0" fillId="0" borderId="6" xfId="0" applyBorder="1" applyProtection="1">
      <alignment vertical="center"/>
      <protection locked="0"/>
    </xf>
    <xf numFmtId="0" fontId="0" fillId="4" borderId="12" xfId="0" applyFill="1" applyBorder="1" applyProtection="1">
      <alignment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9" xfId="0" applyBorder="1" applyProtection="1">
      <alignment vertical="center"/>
      <protection locked="0"/>
    </xf>
    <xf numFmtId="0" fontId="0" fillId="0" borderId="17" xfId="0" applyBorder="1" applyProtection="1">
      <alignment vertical="center"/>
      <protection locked="0"/>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5" borderId="0" xfId="0" applyFill="1">
      <alignment vertical="center"/>
    </xf>
    <xf numFmtId="0" fontId="0" fillId="10" borderId="0" xfId="0" applyFill="1">
      <alignment vertical="center"/>
    </xf>
    <xf numFmtId="0" fontId="0" fillId="0" borderId="19" xfId="0" applyBorder="1">
      <alignment vertical="center"/>
    </xf>
    <xf numFmtId="0" fontId="0" fillId="11" borderId="0" xfId="0" applyFill="1">
      <alignment vertical="center"/>
    </xf>
    <xf numFmtId="0" fontId="10" fillId="9" borderId="31" xfId="0" applyFont="1" applyFill="1" applyBorder="1">
      <alignment vertical="center"/>
    </xf>
    <xf numFmtId="0" fontId="10" fillId="9" borderId="32" xfId="0" applyFont="1" applyFill="1" applyBorder="1">
      <alignment vertical="center"/>
    </xf>
    <xf numFmtId="0" fontId="10" fillId="9" borderId="34" xfId="0" applyFont="1" applyFill="1" applyBorder="1">
      <alignment vertical="center"/>
    </xf>
    <xf numFmtId="0" fontId="11" fillId="9" borderId="31" xfId="0" applyFont="1" applyFill="1" applyBorder="1">
      <alignment vertical="center"/>
    </xf>
    <xf numFmtId="0" fontId="11" fillId="9" borderId="34" xfId="0" applyFont="1" applyFill="1" applyBorder="1">
      <alignment vertical="center"/>
    </xf>
    <xf numFmtId="0" fontId="11" fillId="9" borderId="32" xfId="0" applyFont="1" applyFill="1" applyBorder="1">
      <alignment vertical="center"/>
    </xf>
    <xf numFmtId="0" fontId="9" fillId="6" borderId="35" xfId="0" applyFont="1" applyFill="1" applyBorder="1" applyAlignment="1">
      <alignment horizontal="center" vertical="center"/>
    </xf>
    <xf numFmtId="0" fontId="9" fillId="6" borderId="36" xfId="0" applyFont="1" applyFill="1" applyBorder="1" applyAlignment="1">
      <alignment horizontal="center" vertical="center"/>
    </xf>
    <xf numFmtId="0" fontId="9" fillId="6" borderId="37" xfId="0" applyFont="1" applyFill="1" applyBorder="1" applyAlignment="1">
      <alignment horizontal="center" vertical="center"/>
    </xf>
    <xf numFmtId="0" fontId="14" fillId="2" borderId="0" xfId="0" applyFont="1" applyFill="1">
      <alignment vertical="center"/>
    </xf>
    <xf numFmtId="0" fontId="11" fillId="9" borderId="49" xfId="0" applyFont="1" applyFill="1" applyBorder="1">
      <alignment vertical="center"/>
    </xf>
    <xf numFmtId="0" fontId="10" fillId="9" borderId="48" xfId="0" applyFont="1" applyFill="1" applyBorder="1">
      <alignment vertical="center"/>
    </xf>
    <xf numFmtId="176" fontId="4" fillId="0" borderId="48" xfId="0" applyNumberFormat="1" applyFont="1" applyBorder="1">
      <alignment vertical="center"/>
    </xf>
    <xf numFmtId="0" fontId="0" fillId="0" borderId="48" xfId="0" applyBorder="1">
      <alignment vertical="center"/>
    </xf>
    <xf numFmtId="0" fontId="0" fillId="0" borderId="53" xfId="0" applyBorder="1">
      <alignment vertical="center"/>
    </xf>
    <xf numFmtId="176" fontId="4" fillId="0" borderId="27" xfId="0" applyNumberFormat="1" applyFont="1" applyBorder="1" applyAlignment="1">
      <alignment horizontal="right" vertical="center"/>
    </xf>
    <xf numFmtId="176" fontId="4" fillId="0" borderId="28" xfId="0" applyNumberFormat="1" applyFont="1" applyBorder="1" applyAlignment="1">
      <alignment horizontal="right" vertical="center"/>
    </xf>
    <xf numFmtId="176" fontId="4" fillId="0" borderId="29" xfId="0" applyNumberFormat="1" applyFont="1" applyBorder="1" applyAlignment="1">
      <alignment horizontal="right" vertical="center"/>
    </xf>
    <xf numFmtId="176" fontId="4" fillId="0" borderId="33" xfId="0" applyNumberFormat="1" applyFont="1" applyBorder="1" applyAlignment="1">
      <alignment horizontal="right" vertical="center"/>
    </xf>
    <xf numFmtId="176" fontId="4" fillId="0" borderId="50" xfId="0" applyNumberFormat="1" applyFont="1" applyBorder="1" applyAlignment="1">
      <alignment horizontal="right" vertical="center"/>
    </xf>
    <xf numFmtId="0" fontId="0" fillId="0" borderId="19" xfId="0" applyBorder="1" applyAlignment="1">
      <alignment vertical="center" wrapText="1"/>
    </xf>
    <xf numFmtId="0" fontId="4" fillId="0" borderId="28" xfId="0" applyFont="1" applyBorder="1" applyAlignment="1">
      <alignment horizontal="right" vertical="center"/>
    </xf>
    <xf numFmtId="0" fontId="4" fillId="0" borderId="52" xfId="0" applyFont="1" applyBorder="1" applyAlignment="1">
      <alignment horizontal="right" vertical="center"/>
    </xf>
    <xf numFmtId="0" fontId="4" fillId="0" borderId="29" xfId="0" applyFont="1" applyBorder="1" applyAlignment="1">
      <alignment horizontal="right" vertical="center"/>
    </xf>
    <xf numFmtId="0" fontId="0" fillId="0" borderId="54" xfId="0" applyBorder="1" applyProtection="1">
      <alignment vertical="center"/>
      <protection locked="0"/>
    </xf>
    <xf numFmtId="0" fontId="0" fillId="0" borderId="56" xfId="0" applyBorder="1" applyProtection="1">
      <alignment vertical="center"/>
      <protection locked="0"/>
    </xf>
    <xf numFmtId="0" fontId="0" fillId="0" borderId="57" xfId="0" applyBorder="1" applyProtection="1">
      <alignment vertical="center"/>
      <protection locked="0"/>
    </xf>
    <xf numFmtId="0" fontId="0" fillId="0" borderId="58" xfId="0" applyBorder="1" applyProtection="1">
      <alignment vertical="center"/>
      <protection locked="0"/>
    </xf>
    <xf numFmtId="0" fontId="0" fillId="0" borderId="59" xfId="0" applyBorder="1" applyProtection="1">
      <alignment vertical="center"/>
      <protection locked="0"/>
    </xf>
    <xf numFmtId="0" fontId="0" fillId="0" borderId="61" xfId="0" applyBorder="1" applyProtection="1">
      <alignment vertical="center"/>
      <protection locked="0"/>
    </xf>
    <xf numFmtId="0" fontId="16" fillId="12" borderId="63" xfId="0" applyFont="1" applyFill="1" applyBorder="1" applyAlignment="1">
      <alignment horizontal="center" vertical="center"/>
    </xf>
    <xf numFmtId="0" fontId="0" fillId="0" borderId="64" xfId="0" applyBorder="1" applyAlignment="1" applyProtection="1">
      <alignment horizontal="center" vertical="center"/>
      <protection locked="0"/>
    </xf>
    <xf numFmtId="0" fontId="9" fillId="4" borderId="68" xfId="0" applyFont="1" applyFill="1" applyBorder="1" applyAlignment="1">
      <alignment horizontal="center" vertical="center"/>
    </xf>
    <xf numFmtId="0" fontId="9" fillId="4" borderId="69" xfId="0" applyFont="1" applyFill="1" applyBorder="1" applyAlignment="1">
      <alignment horizontal="center" vertical="center"/>
    </xf>
    <xf numFmtId="0" fontId="9" fillId="4" borderId="70" xfId="0" applyFont="1" applyFill="1" applyBorder="1" applyAlignment="1">
      <alignment horizontal="center" vertical="center"/>
    </xf>
    <xf numFmtId="0" fontId="0" fillId="0" borderId="71" xfId="0" applyBorder="1" applyProtection="1">
      <alignment vertical="center"/>
      <protection locked="0"/>
    </xf>
    <xf numFmtId="0" fontId="0" fillId="0" borderId="72" xfId="0" applyBorder="1" applyProtection="1">
      <alignment vertical="center"/>
      <protection locked="0"/>
    </xf>
    <xf numFmtId="0" fontId="0" fillId="0" borderId="73" xfId="0" applyBorder="1" applyProtection="1">
      <alignment vertical="center"/>
      <protection locked="0"/>
    </xf>
    <xf numFmtId="0" fontId="0" fillId="6" borderId="18" xfId="0" applyFill="1" applyBorder="1" applyProtection="1">
      <alignment vertical="center"/>
      <protection locked="0"/>
    </xf>
    <xf numFmtId="0" fontId="0" fillId="0" borderId="79" xfId="0" applyBorder="1" applyAlignment="1">
      <alignment horizontal="center" vertical="center"/>
    </xf>
    <xf numFmtId="0" fontId="0" fillId="0" borderId="20" xfId="0" applyBorder="1" applyAlignment="1">
      <alignment vertical="center" shrinkToFit="1"/>
    </xf>
    <xf numFmtId="0" fontId="0" fillId="0" borderId="21" xfId="0" applyBorder="1" applyAlignment="1">
      <alignment vertical="center" shrinkToFit="1"/>
    </xf>
    <xf numFmtId="0" fontId="0" fillId="0" borderId="22" xfId="0" applyBorder="1" applyAlignment="1">
      <alignment vertical="center" shrinkToFit="1"/>
    </xf>
    <xf numFmtId="0" fontId="0" fillId="0" borderId="23" xfId="0" applyBorder="1" applyAlignment="1">
      <alignment vertical="center" shrinkToFit="1"/>
    </xf>
    <xf numFmtId="0" fontId="0" fillId="0" borderId="51" xfId="0" applyBorder="1" applyAlignment="1">
      <alignment vertical="center" shrinkToFit="1"/>
    </xf>
    <xf numFmtId="0" fontId="16" fillId="15" borderId="78" xfId="0" applyFont="1" applyFill="1" applyBorder="1" applyAlignment="1">
      <alignment horizontal="center" vertical="center"/>
    </xf>
    <xf numFmtId="0" fontId="17" fillId="0" borderId="0" xfId="0" applyFont="1">
      <alignment vertical="center"/>
    </xf>
    <xf numFmtId="0" fontId="0" fillId="0" borderId="0" xfId="0" applyAlignment="1">
      <alignment horizontal="left" vertical="center" indent="1"/>
    </xf>
    <xf numFmtId="0" fontId="18" fillId="0" borderId="0" xfId="2" applyAlignment="1">
      <alignment horizontal="left" vertical="center" indent="1"/>
    </xf>
    <xf numFmtId="0" fontId="0" fillId="0" borderId="0" xfId="0" applyAlignment="1">
      <alignment horizontal="left" vertical="center" indent="2"/>
    </xf>
    <xf numFmtId="0" fontId="9" fillId="0" borderId="0" xfId="0" applyFont="1" applyAlignment="1">
      <alignment horizontal="left" vertical="center" indent="2"/>
    </xf>
    <xf numFmtId="0" fontId="9" fillId="0" borderId="0" xfId="0" applyFont="1" applyAlignment="1">
      <alignment horizontal="left" vertical="center" indent="4"/>
    </xf>
    <xf numFmtId="0" fontId="0" fillId="0" borderId="0" xfId="0" applyAlignment="1">
      <alignment horizontal="left" vertical="center" indent="4"/>
    </xf>
    <xf numFmtId="0" fontId="9" fillId="0" borderId="0" xfId="0" applyFont="1" applyAlignment="1">
      <alignment horizontal="left" vertical="center" indent="3"/>
    </xf>
    <xf numFmtId="0" fontId="9" fillId="0" borderId="0" xfId="0" applyFont="1" applyAlignment="1">
      <alignment horizontal="left" vertical="center" indent="1"/>
    </xf>
    <xf numFmtId="0" fontId="4" fillId="0" borderId="33" xfId="0" applyFont="1" applyBorder="1" applyAlignment="1">
      <alignment horizontal="right" vertical="center"/>
    </xf>
    <xf numFmtId="176" fontId="4" fillId="0" borderId="52" xfId="0" applyNumberFormat="1" applyFont="1" applyBorder="1" applyAlignment="1">
      <alignment horizontal="right" vertical="center"/>
    </xf>
    <xf numFmtId="176" fontId="4" fillId="0" borderId="82" xfId="0" applyNumberFormat="1" applyFont="1" applyBorder="1" applyAlignment="1">
      <alignment horizontal="right" vertical="center"/>
    </xf>
    <xf numFmtId="0" fontId="0" fillId="0" borderId="83" xfId="0" applyBorder="1">
      <alignment vertical="center"/>
    </xf>
    <xf numFmtId="0" fontId="11" fillId="9" borderId="31" xfId="0" applyFont="1" applyFill="1" applyBorder="1" applyAlignment="1">
      <alignment vertical="center" shrinkToFit="1"/>
    </xf>
    <xf numFmtId="0" fontId="10" fillId="9" borderId="30" xfId="0" applyFont="1" applyFill="1" applyBorder="1" applyAlignment="1">
      <alignment vertical="center" shrinkToFit="1"/>
    </xf>
    <xf numFmtId="0" fontId="10" fillId="9" borderId="31" xfId="0" applyFont="1" applyFill="1" applyBorder="1" applyAlignment="1">
      <alignment vertical="center" shrinkToFit="1"/>
    </xf>
    <xf numFmtId="0" fontId="10" fillId="9" borderId="32" xfId="0" applyFont="1" applyFill="1" applyBorder="1" applyAlignment="1">
      <alignment vertical="center" shrinkToFit="1"/>
    </xf>
    <xf numFmtId="0" fontId="11" fillId="9" borderId="34" xfId="0" applyFont="1" applyFill="1" applyBorder="1" applyAlignment="1">
      <alignment vertical="center" shrinkToFit="1"/>
    </xf>
    <xf numFmtId="0" fontId="11" fillId="9" borderId="81" xfId="0" applyFont="1" applyFill="1" applyBorder="1" applyAlignment="1">
      <alignment vertical="center" shrinkToFit="1"/>
    </xf>
    <xf numFmtId="0" fontId="11" fillId="9" borderId="80" xfId="0" applyFont="1" applyFill="1" applyBorder="1" applyAlignment="1">
      <alignment vertical="center" shrinkToFit="1"/>
    </xf>
    <xf numFmtId="0" fontId="11" fillId="9" borderId="32" xfId="0" applyFont="1" applyFill="1" applyBorder="1" applyAlignment="1">
      <alignment vertical="center" shrinkToFit="1"/>
    </xf>
    <xf numFmtId="14" fontId="0" fillId="0" borderId="0" xfId="0" applyNumberFormat="1">
      <alignment vertical="center"/>
    </xf>
    <xf numFmtId="0" fontId="0" fillId="6" borderId="56" xfId="0" applyFill="1" applyBorder="1">
      <alignment vertical="center"/>
    </xf>
    <xf numFmtId="0" fontId="10" fillId="9" borderId="84" xfId="0" applyFont="1" applyFill="1" applyBorder="1" applyAlignment="1">
      <alignment vertical="center" shrinkToFit="1"/>
    </xf>
    <xf numFmtId="176" fontId="4" fillId="0" borderId="85" xfId="0" applyNumberFormat="1" applyFont="1" applyBorder="1" applyAlignment="1">
      <alignment horizontal="right" vertical="center"/>
    </xf>
    <xf numFmtId="0" fontId="0" fillId="0" borderId="86" xfId="0" applyBorder="1" applyAlignment="1">
      <alignment vertical="center" shrinkToFit="1"/>
    </xf>
    <xf numFmtId="0" fontId="13" fillId="7" borderId="0" xfId="0" applyFont="1" applyFill="1" applyAlignment="1">
      <alignment horizontal="center" vertical="center"/>
    </xf>
    <xf numFmtId="0" fontId="16" fillId="11" borderId="87" xfId="0" applyFont="1" applyFill="1" applyBorder="1" applyAlignment="1" applyProtection="1">
      <alignment horizontal="center" vertical="center"/>
      <protection locked="0"/>
    </xf>
    <xf numFmtId="0" fontId="0" fillId="0" borderId="38" xfId="0" applyBorder="1" applyAlignment="1" applyProtection="1">
      <alignment horizontal="right" vertical="center"/>
      <protection locked="0"/>
    </xf>
    <xf numFmtId="0" fontId="0" fillId="0" borderId="55" xfId="0" applyBorder="1" applyProtection="1">
      <alignment vertical="center"/>
      <protection locked="0"/>
    </xf>
    <xf numFmtId="0" fontId="0" fillId="0" borderId="13" xfId="0" applyBorder="1" applyProtection="1">
      <alignment vertical="center"/>
      <protection locked="0"/>
    </xf>
    <xf numFmtId="0" fontId="0" fillId="0" borderId="60" xfId="0" applyBorder="1" applyProtection="1">
      <alignment vertical="center"/>
      <protection locked="0"/>
    </xf>
    <xf numFmtId="0" fontId="12" fillId="5" borderId="24" xfId="0" applyFont="1" applyFill="1" applyBorder="1" applyAlignment="1">
      <alignment horizontal="center" vertical="center"/>
    </xf>
    <xf numFmtId="0" fontId="12" fillId="5" borderId="25" xfId="0" applyFont="1" applyFill="1" applyBorder="1" applyAlignment="1">
      <alignment horizontal="center" vertical="center"/>
    </xf>
    <xf numFmtId="0" fontId="12" fillId="5" borderId="26" xfId="0" applyFont="1" applyFill="1" applyBorder="1" applyAlignment="1">
      <alignment horizontal="center" vertical="center"/>
    </xf>
    <xf numFmtId="0" fontId="7" fillId="8" borderId="39" xfId="0" applyFont="1" applyFill="1" applyBorder="1" applyAlignment="1">
      <alignment horizontal="center" vertical="center"/>
    </xf>
    <xf numFmtId="0" fontId="8" fillId="8" borderId="40" xfId="0" applyFont="1" applyFill="1" applyBorder="1" applyAlignment="1">
      <alignment horizontal="center" vertical="center"/>
    </xf>
    <xf numFmtId="0" fontId="8" fillId="8" borderId="41" xfId="0" applyFont="1" applyFill="1" applyBorder="1" applyAlignment="1">
      <alignment horizontal="center" vertical="center"/>
    </xf>
    <xf numFmtId="0" fontId="0" fillId="0" borderId="42" xfId="0" applyBorder="1" applyProtection="1">
      <alignment vertical="center"/>
      <protection locked="0"/>
    </xf>
    <xf numFmtId="0" fontId="0" fillId="0" borderId="43" xfId="0" applyBorder="1" applyProtection="1">
      <alignment vertical="center"/>
      <protection locked="0"/>
    </xf>
    <xf numFmtId="0" fontId="0" fillId="0" borderId="44" xfId="0" applyBorder="1" applyProtection="1">
      <alignment vertical="center"/>
      <protection locked="0"/>
    </xf>
    <xf numFmtId="0" fontId="0" fillId="0" borderId="45" xfId="0"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0" fontId="7" fillId="13" borderId="2" xfId="0" applyFont="1" applyFill="1" applyBorder="1" applyAlignment="1">
      <alignment horizontal="center" vertical="center"/>
    </xf>
    <xf numFmtId="0" fontId="8" fillId="13" borderId="3" xfId="0" applyFont="1" applyFill="1" applyBorder="1" applyAlignment="1">
      <alignment horizontal="center" vertical="center"/>
    </xf>
    <xf numFmtId="0" fontId="8" fillId="13" borderId="4"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7" fillId="14" borderId="14" xfId="0" applyFont="1" applyFill="1" applyBorder="1" applyAlignment="1">
      <alignment horizontal="center" vertical="center"/>
    </xf>
    <xf numFmtId="0" fontId="8" fillId="14" borderId="15" xfId="0" applyFont="1" applyFill="1" applyBorder="1" applyAlignment="1">
      <alignment horizontal="center" vertical="center"/>
    </xf>
    <xf numFmtId="0" fontId="8" fillId="14" borderId="16" xfId="0" applyFont="1" applyFill="1" applyBorder="1" applyAlignment="1">
      <alignment horizontal="center" vertical="center"/>
    </xf>
    <xf numFmtId="0" fontId="9" fillId="0" borderId="74" xfId="0" applyFont="1" applyBorder="1" applyAlignment="1" applyProtection="1">
      <alignment horizontal="center" vertical="center"/>
      <protection locked="0"/>
    </xf>
    <xf numFmtId="0" fontId="9" fillId="0" borderId="75" xfId="0" applyFont="1" applyBorder="1" applyAlignment="1" applyProtection="1">
      <alignment horizontal="center" vertical="center"/>
      <protection locked="0"/>
    </xf>
    <xf numFmtId="0" fontId="9" fillId="6" borderId="62" xfId="0" applyFont="1" applyFill="1" applyBorder="1" applyAlignment="1">
      <alignment horizontal="center" vertical="center"/>
    </xf>
    <xf numFmtId="0" fontId="9" fillId="6" borderId="55" xfId="0" applyFont="1" applyFill="1" applyBorder="1" applyAlignment="1">
      <alignment horizontal="center" vertical="center"/>
    </xf>
    <xf numFmtId="0" fontId="0" fillId="0" borderId="65" xfId="0" applyBorder="1" applyProtection="1">
      <alignment vertical="center"/>
      <protection locked="0"/>
    </xf>
    <xf numFmtId="0" fontId="0" fillId="0" borderId="66" xfId="0" applyBorder="1" applyProtection="1">
      <alignment vertical="center"/>
      <protection locked="0"/>
    </xf>
    <xf numFmtId="0" fontId="0" fillId="0" borderId="67" xfId="0" applyBorder="1" applyProtection="1">
      <alignment vertical="center"/>
      <protection locked="0"/>
    </xf>
    <xf numFmtId="0" fontId="9" fillId="6" borderId="76" xfId="0" applyFont="1" applyFill="1" applyBorder="1" applyAlignment="1">
      <alignment horizontal="center" vertical="center"/>
    </xf>
    <xf numFmtId="0" fontId="0" fillId="0" borderId="77" xfId="0" applyBorder="1" applyAlignment="1">
      <alignment horizontal="center" vertical="center"/>
    </xf>
  </cellXfs>
  <cellStyles count="3">
    <cellStyle name="ハイパーリンク" xfId="2" builtinId="8"/>
    <cellStyle name="標準" xfId="0" builtinId="0"/>
    <cellStyle name="標準_輸液処方2.xls" xfId="1" xr:uid="{00000000-0005-0000-0000-000002000000}"/>
  </cellStyles>
  <dxfs count="13">
    <dxf>
      <fill>
        <patternFill>
          <bgColor rgb="FFF2F2F2"/>
        </patternFill>
      </fill>
    </dxf>
    <dxf>
      <fill>
        <patternFill>
          <bgColor rgb="FFFDEEE3"/>
        </patternFill>
      </fill>
    </dxf>
    <dxf>
      <fill>
        <patternFill>
          <bgColor rgb="FFD3E7C7"/>
        </patternFill>
      </fill>
    </dxf>
    <dxf>
      <fill>
        <patternFill>
          <bgColor rgb="FFF2F2F2"/>
        </patternFill>
      </fill>
    </dxf>
    <dxf>
      <fill>
        <patternFill>
          <bgColor rgb="FFFDEEE3"/>
        </patternFill>
      </fill>
    </dxf>
    <dxf>
      <fill>
        <patternFill>
          <bgColor rgb="FFD3E7C7"/>
        </patternFill>
      </fill>
    </dxf>
    <dxf>
      <numFmt numFmtId="177" formatCode="General&quot; kg&quot;"/>
    </dxf>
    <dxf>
      <numFmt numFmtId="178" formatCode="General&quot; g&quot;"/>
    </dxf>
    <dxf>
      <font>
        <color theme="0" tint="-0.34998626667073579"/>
      </font>
    </dxf>
    <dxf>
      <border>
        <bottom style="thin">
          <color rgb="FFC00000"/>
        </bottom>
        <vertical/>
        <horizontal/>
      </border>
    </dxf>
    <dxf>
      <font>
        <color theme="0" tint="-4.9989318521683403E-2"/>
      </font>
      <fill>
        <patternFill>
          <bgColor theme="0" tint="-4.9989318521683403E-2"/>
        </patternFill>
      </fill>
      <border>
        <left/>
        <right/>
        <bottom/>
      </border>
    </dxf>
    <dxf>
      <border>
        <bottom style="thin">
          <color auto="1"/>
        </bottom>
        <vertical/>
        <horizontal/>
      </border>
    </dxf>
    <dxf>
      <font>
        <color theme="0" tint="-0.14996795556505021"/>
      </font>
      <fill>
        <patternFill>
          <bgColor theme="0" tint="-4.9989318521683403E-2"/>
        </patternFill>
      </fill>
    </dxf>
  </dxfs>
  <tableStyles count="0" defaultTableStyle="TableStyleMedium2" defaultPivotStyle="PivotStyleLight16"/>
  <colors>
    <mruColors>
      <color rgb="FFE1CCF0"/>
      <color rgb="FFDEC8EE"/>
      <color rgb="FFF2F2F2"/>
      <color rgb="FFFDEEE3"/>
      <color rgb="FFD3E7C7"/>
      <color rgb="FFFFCCFF"/>
      <color rgb="FFFEF8F4"/>
      <color rgb="FFFAFAFA"/>
      <color rgb="FFFCFCFC"/>
      <color rgb="FFFEFE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Dropbox/Today/Others/hydroponics/&#36664;&#28082;&#19968;&#35239;&#33394;&#12388;&#1236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データオリジナル"/>
      <sheetName val="表データ"/>
      <sheetName val="Sheet1"/>
      <sheetName val="Sheet2"/>
      <sheetName val="数字・数式のみ"/>
      <sheetName val="Sheet4"/>
    </sheetNames>
    <sheetDataSet>
      <sheetData sheetId="0" refreshError="1"/>
      <sheetData sheetId="1" refreshError="1"/>
      <sheetData sheetId="2" refreshError="1"/>
      <sheetData sheetId="3" refreshError="1"/>
      <sheetData sheetId="4" refreshError="1"/>
      <sheetData sheetId="5">
        <row r="2">
          <cell r="B2" t="str">
            <v>ブドウ糖5%</v>
          </cell>
          <cell r="E2" t="str">
            <v>アクチット注</v>
          </cell>
        </row>
        <row r="3">
          <cell r="E3" t="str">
            <v>アセトキープ3G</v>
          </cell>
        </row>
        <row r="4">
          <cell r="E4" t="str">
            <v>10%EL-3号輸液</v>
          </cell>
        </row>
        <row r="5">
          <cell r="E5" t="str">
            <v>EL-3号輸液</v>
          </cell>
        </row>
        <row r="6">
          <cell r="E6" t="str">
            <v>ヴィーン3G</v>
          </cell>
        </row>
        <row r="7">
          <cell r="E7" t="str">
            <v>グルアセト35</v>
          </cell>
        </row>
        <row r="8">
          <cell r="E8" t="str">
            <v>KN1号輸液</v>
          </cell>
        </row>
        <row r="9">
          <cell r="E9" t="str">
            <v>KN2号輸液</v>
          </cell>
        </row>
        <row r="10">
          <cell r="E10" t="str">
            <v>KN3号輸液</v>
          </cell>
        </row>
        <row r="11">
          <cell r="E11" t="str">
            <v>KN4号輸液</v>
          </cell>
        </row>
        <row r="12">
          <cell r="E12" t="str">
            <v>KNMG3号輸液</v>
          </cell>
        </row>
        <row r="13">
          <cell r="E13" t="str">
            <v>ソリタ-T1</v>
          </cell>
        </row>
        <row r="14">
          <cell r="E14" t="str">
            <v>ソリタ-T2</v>
          </cell>
        </row>
        <row r="15">
          <cell r="E15" t="str">
            <v>ソリタ-T3</v>
          </cell>
        </row>
        <row r="16">
          <cell r="E16" t="str">
            <v>ソリタ-T3G</v>
          </cell>
        </row>
        <row r="17">
          <cell r="E17" t="str">
            <v>ソリタ-T4</v>
          </cell>
        </row>
        <row r="18">
          <cell r="E18" t="str">
            <v>ソリタックス-H</v>
          </cell>
        </row>
        <row r="19">
          <cell r="E19" t="str">
            <v>ソルデム1輸液</v>
          </cell>
        </row>
        <row r="20">
          <cell r="E20" t="str">
            <v>ソルデム2輸液</v>
          </cell>
        </row>
        <row r="21">
          <cell r="E21" t="str">
            <v>ソルデム3AG輸液</v>
          </cell>
        </row>
        <row r="22">
          <cell r="E22" t="str">
            <v>ソルデム3A輸液</v>
          </cell>
        </row>
        <row r="23">
          <cell r="E23" t="str">
            <v>ソルデム3PG輸液</v>
          </cell>
        </row>
        <row r="24">
          <cell r="E24" t="str">
            <v>ソルデム3輸液</v>
          </cell>
        </row>
        <row r="25">
          <cell r="E25" t="str">
            <v>ソルデム4輸液</v>
          </cell>
        </row>
        <row r="26">
          <cell r="E26" t="str">
            <v>ソルデム5輸液</v>
          </cell>
        </row>
        <row r="27">
          <cell r="E27" t="str">
            <v>ソルデム6輸液</v>
          </cell>
        </row>
        <row r="28">
          <cell r="E28" t="str">
            <v>ソルマルト輸液</v>
          </cell>
        </row>
        <row r="29">
          <cell r="E29" t="str">
            <v>デノサリン1輸液</v>
          </cell>
        </row>
        <row r="30">
          <cell r="E30" t="str">
            <v>トリフリード</v>
          </cell>
        </row>
        <row r="31">
          <cell r="E31" t="str">
            <v>ハルトマン-G3号輸液</v>
          </cell>
        </row>
        <row r="32">
          <cell r="E32" t="str">
            <v>フィジオ35</v>
          </cell>
        </row>
        <row r="33">
          <cell r="E33" t="str">
            <v>フィジオ70</v>
          </cell>
        </row>
        <row r="34">
          <cell r="E34" t="str">
            <v>フルクトラクト注</v>
          </cell>
        </row>
        <row r="35">
          <cell r="E35" t="str">
            <v>リプラス1号輸液</v>
          </cell>
        </row>
        <row r="36">
          <cell r="E36" t="str">
            <v>リプラス3号輸液</v>
          </cell>
        </row>
        <row r="37">
          <cell r="E37" t="str">
            <v>基本液</v>
          </cell>
        </row>
        <row r="38">
          <cell r="E38" t="str">
            <v>生理食塩液</v>
          </cell>
        </row>
        <row r="39">
          <cell r="E39" t="str">
            <v>注射用蒸留水</v>
          </cell>
        </row>
        <row r="40">
          <cell r="E40" t="str">
            <v>ブドウ糖5%</v>
          </cell>
        </row>
        <row r="41">
          <cell r="E41" t="str">
            <v>ブドウ糖10%</v>
          </cell>
        </row>
        <row r="42">
          <cell r="E42" t="str">
            <v>ブドウ糖20%</v>
          </cell>
        </row>
        <row r="43">
          <cell r="E43" t="str">
            <v>ブドウ糖50%</v>
          </cell>
        </row>
        <row r="44">
          <cell r="E44" t="str">
            <v>ブドウ糖70%</v>
          </cell>
        </row>
        <row r="45">
          <cell r="E45" t="str">
            <v>10%マルトース</v>
          </cell>
        </row>
        <row r="46">
          <cell r="E46" t="str">
            <v>5%果糖注射液</v>
          </cell>
        </row>
        <row r="47">
          <cell r="E47" t="str">
            <v>5%キシリトール</v>
          </cell>
        </row>
        <row r="48">
          <cell r="E48" t="str">
            <v>細胞外液補充液</v>
          </cell>
        </row>
        <row r="49">
          <cell r="E49" t="str">
            <v>ヴィーンD</v>
          </cell>
        </row>
        <row r="50">
          <cell r="E50" t="str">
            <v>ヴィーンF</v>
          </cell>
        </row>
        <row r="51">
          <cell r="E51" t="str">
            <v>ソリタ-S</v>
          </cell>
        </row>
        <row r="52">
          <cell r="E52" t="str">
            <v>ソリューゲンF</v>
          </cell>
        </row>
        <row r="53">
          <cell r="E53" t="str">
            <v>ソリューゲンG</v>
          </cell>
        </row>
        <row r="54">
          <cell r="E54" t="str">
            <v>ソルアセトD輸液</v>
          </cell>
        </row>
        <row r="55">
          <cell r="E55" t="str">
            <v>ソルアセトF輸液</v>
          </cell>
        </row>
        <row r="56">
          <cell r="E56" t="str">
            <v>ソルラクトD輸液</v>
          </cell>
        </row>
        <row r="57">
          <cell r="E57" t="str">
            <v>ソルラクトS輸液</v>
          </cell>
        </row>
        <row r="58">
          <cell r="E58" t="str">
            <v>ソルラクトTMR輸液</v>
          </cell>
        </row>
        <row r="59">
          <cell r="E59" t="str">
            <v>ソルラクト輸液</v>
          </cell>
        </row>
        <row r="60">
          <cell r="E60" t="str">
            <v>ハルトマンD液｢小林｣</v>
          </cell>
        </row>
        <row r="61">
          <cell r="E61" t="str">
            <v>ハルトマン液｢ｺﾊﾞﾔｼ｣</v>
          </cell>
        </row>
        <row r="62">
          <cell r="E62" t="str">
            <v>ハルトマン液-｢HD｣</v>
          </cell>
        </row>
        <row r="63">
          <cell r="E63" t="str">
            <v>ハルトマン液pH:8-｢HD｣</v>
          </cell>
        </row>
        <row r="64">
          <cell r="E64" t="str">
            <v>ビカーボン輸液</v>
          </cell>
        </row>
        <row r="65">
          <cell r="E65" t="str">
            <v>ビカネイト輸液</v>
          </cell>
        </row>
        <row r="66">
          <cell r="E66" t="str">
            <v>フィジオ140</v>
          </cell>
        </row>
        <row r="67">
          <cell r="E67" t="str">
            <v>フィジオ70</v>
          </cell>
        </row>
        <row r="68">
          <cell r="E68" t="str">
            <v>ポタコールR</v>
          </cell>
        </row>
        <row r="69">
          <cell r="E69" t="str">
            <v>ラクテックD注</v>
          </cell>
        </row>
        <row r="70">
          <cell r="E70" t="str">
            <v>ラクテックG注</v>
          </cell>
        </row>
        <row r="71">
          <cell r="E71" t="str">
            <v>ラクテック注</v>
          </cell>
        </row>
        <row r="72">
          <cell r="E72" t="str">
            <v>ラクトリンゲルM</v>
          </cell>
        </row>
        <row r="73">
          <cell r="E73" t="str">
            <v>ラクトリンゲルS</v>
          </cell>
        </row>
        <row r="74">
          <cell r="E74" t="str">
            <v>内服用電解質剤</v>
          </cell>
        </row>
        <row r="75">
          <cell r="E75" t="str">
            <v>ソリタ-T顆粒2号</v>
          </cell>
        </row>
        <row r="76">
          <cell r="E76" t="str">
            <v>ソリタ-T顆粒3号</v>
          </cell>
        </row>
        <row r="77">
          <cell r="E77" t="str">
            <v>補正用電解質製剤</v>
          </cell>
        </row>
        <row r="78">
          <cell r="E78" t="str">
            <v>10%塩化ナトリウム液</v>
          </cell>
        </row>
        <row r="79">
          <cell r="E79" t="str">
            <v>KCL注20mEqｷｯﾄ｢ﾃﾙﾓ｣</v>
          </cell>
        </row>
        <row r="80">
          <cell r="E80" t="str">
            <v>KCL補正液(1mEq/mL)</v>
          </cell>
        </row>
        <row r="81">
          <cell r="E81" t="str">
            <v>アスパラK注</v>
          </cell>
        </row>
        <row r="82">
          <cell r="E82" t="str">
            <v>ｱｽﾊﾟﾗｷﾞﾝ酸K注10mEqｷｯﾄ</v>
          </cell>
        </row>
        <row r="83">
          <cell r="E83" t="str">
            <v>ｴﾚﾒﾝﾐｯｸ注(2mL/A)</v>
          </cell>
        </row>
        <row r="84">
          <cell r="E84" t="str">
            <v>塩化Ca補正液1mEq/mL</v>
          </cell>
        </row>
        <row r="85">
          <cell r="E85" t="str">
            <v>塩化Na補正液(2.5mEq/mL)</v>
          </cell>
        </row>
        <row r="86">
          <cell r="E86" t="str">
            <v>塩化ｱﾝﾓﾆｳﾑ補正液5mEq/mL</v>
          </cell>
        </row>
        <row r="87">
          <cell r="E87" t="str">
            <v>大塚食塩注10%</v>
          </cell>
        </row>
        <row r="88">
          <cell r="E88" t="str">
            <v>カルチコール注射液</v>
          </cell>
        </row>
        <row r="89">
          <cell r="E89" t="str">
            <v>ｺﾝｸﾗｲﾄA液(5mEq/mL)</v>
          </cell>
        </row>
        <row r="90">
          <cell r="E90" t="str">
            <v>乳酸Na補正液1mEq/mL</v>
          </cell>
        </row>
        <row r="91">
          <cell r="E91" t="str">
            <v>ミネラリン注(2mL/A)</v>
          </cell>
        </row>
        <row r="92">
          <cell r="E92" t="str">
            <v>メイロン静注7%</v>
          </cell>
        </row>
        <row r="93">
          <cell r="E93" t="str">
            <v>メイロン静注8.4%</v>
          </cell>
        </row>
        <row r="94">
          <cell r="E94" t="str">
            <v>硫酸Mg補正液1mEq/mL</v>
          </cell>
        </row>
        <row r="95">
          <cell r="E95" t="str">
            <v>ﾘﾝ酸Na補正液0.5mmol/mL</v>
          </cell>
        </row>
        <row r="96">
          <cell r="E96" t="str">
            <v>ﾘﾝ酸二K補正液1mEq/mL</v>
          </cell>
        </row>
        <row r="97">
          <cell r="E97" t="str">
            <v>補正用硫酸マグネシウム</v>
          </cell>
        </row>
        <row r="98">
          <cell r="E98" t="str">
            <v>高カロリー基本液</v>
          </cell>
        </row>
        <row r="99">
          <cell r="E99" t="str">
            <v>ハイカリック液-1</v>
          </cell>
        </row>
        <row r="100">
          <cell r="E100" t="str">
            <v>ハイカリック液-2</v>
          </cell>
        </row>
        <row r="101">
          <cell r="E101" t="str">
            <v>ハイカリック液-3</v>
          </cell>
        </row>
        <row r="102">
          <cell r="E102" t="str">
            <v>ハイカリックNC-L</v>
          </cell>
        </row>
        <row r="103">
          <cell r="E103" t="str">
            <v>ハイカリックNC-N</v>
          </cell>
        </row>
        <row r="104">
          <cell r="E104" t="str">
            <v>ハイカリックNC-H</v>
          </cell>
        </row>
        <row r="105">
          <cell r="E105" t="str">
            <v>ハイカリックRF</v>
          </cell>
        </row>
        <row r="106">
          <cell r="E106" t="str">
            <v>リハビックスK-1</v>
          </cell>
        </row>
        <row r="107">
          <cell r="E107" t="str">
            <v>リハビックスK-2</v>
          </cell>
        </row>
        <row r="108">
          <cell r="E108" t="str">
            <v>トリパレン1</v>
          </cell>
        </row>
        <row r="109">
          <cell r="E109" t="str">
            <v>トリパレン2</v>
          </cell>
        </row>
        <row r="110">
          <cell r="E110" t="str">
            <v>アミノ酸加高カロリー輸液</v>
          </cell>
        </row>
        <row r="111">
          <cell r="E111" t="str">
            <v>アミノトリパ1号輸液</v>
          </cell>
        </row>
        <row r="112">
          <cell r="E112" t="str">
            <v>アミノトリパ2号輸液</v>
          </cell>
        </row>
        <row r="113">
          <cell r="E113" t="str">
            <v>エルネオパ1号輸液</v>
          </cell>
        </row>
        <row r="114">
          <cell r="E114" t="str">
            <v>エルネオパ2号輸液</v>
          </cell>
        </row>
        <row r="115">
          <cell r="E115" t="str">
            <v>ネオパレン1号輸液</v>
          </cell>
        </row>
        <row r="116">
          <cell r="E116" t="str">
            <v>ネオパレン2号輸液</v>
          </cell>
        </row>
        <row r="117">
          <cell r="E117" t="str">
            <v>ピーエヌツイン1</v>
          </cell>
        </row>
        <row r="118">
          <cell r="E118" t="str">
            <v>ピーエヌツイン2</v>
          </cell>
        </row>
        <row r="119">
          <cell r="E119" t="str">
            <v>ピーエヌツイン3</v>
          </cell>
        </row>
        <row r="120">
          <cell r="E120" t="str">
            <v>フルカリック1号輸液</v>
          </cell>
        </row>
        <row r="121">
          <cell r="E121" t="str">
            <v>フルカリック2号輸液</v>
          </cell>
        </row>
        <row r="122">
          <cell r="E122" t="str">
            <v>フルカリック3号輸液</v>
          </cell>
        </row>
        <row r="123">
          <cell r="E123" t="str">
            <v>ミキシッドH輸液</v>
          </cell>
        </row>
        <row r="124">
          <cell r="E124" t="str">
            <v>ミキシッドL輸液</v>
          </cell>
        </row>
        <row r="125">
          <cell r="E125" t="str">
            <v>ユニカリックL</v>
          </cell>
        </row>
        <row r="126">
          <cell r="E126" t="str">
            <v>ユニカリックN</v>
          </cell>
        </row>
        <row r="127">
          <cell r="E127" t="str">
            <v>アミカリック輸液</v>
          </cell>
        </row>
        <row r="128">
          <cell r="E128" t="str">
            <v>アミグランド輸液</v>
          </cell>
        </row>
        <row r="129">
          <cell r="E129" t="str">
            <v>アミノフリード</v>
          </cell>
        </row>
        <row r="130">
          <cell r="E130" t="str">
            <v>ツインパル輸液</v>
          </cell>
        </row>
        <row r="131">
          <cell r="E131" t="str">
            <v>パレセーフ輸液</v>
          </cell>
        </row>
        <row r="132">
          <cell r="E132" t="str">
            <v>ビーフリード</v>
          </cell>
        </row>
        <row r="133">
          <cell r="E133" t="str">
            <v>プラスアミノ輸液</v>
          </cell>
        </row>
        <row r="134">
          <cell r="E134" t="str">
            <v>マックアミン輸液</v>
          </cell>
        </row>
        <row r="135">
          <cell r="E135" t="str">
            <v>アミノ酸輸液</v>
          </cell>
        </row>
        <row r="136">
          <cell r="E136" t="str">
            <v>アミゼットB輸液</v>
          </cell>
        </row>
        <row r="137">
          <cell r="E137" t="str">
            <v>アミゼットXB輸液</v>
          </cell>
        </row>
        <row r="138">
          <cell r="E138" t="str">
            <v>アミニック</v>
          </cell>
        </row>
        <row r="139">
          <cell r="E139" t="str">
            <v>アミノレバン</v>
          </cell>
        </row>
        <row r="140">
          <cell r="E140" t="str">
            <v>アミパレン</v>
          </cell>
        </row>
        <row r="141">
          <cell r="E141" t="str">
            <v>12%イスポール</v>
          </cell>
        </row>
        <row r="142">
          <cell r="E142" t="str">
            <v>12%イスポールS</v>
          </cell>
        </row>
        <row r="143">
          <cell r="E143" t="str">
            <v>キドミン</v>
          </cell>
        </row>
        <row r="144">
          <cell r="E144" t="str">
            <v>テルアミノ-12</v>
          </cell>
        </row>
        <row r="145">
          <cell r="E145" t="str">
            <v>テルアミノ-12X</v>
          </cell>
        </row>
        <row r="146">
          <cell r="E146" t="str">
            <v>テルフィス点滴静注</v>
          </cell>
        </row>
        <row r="147">
          <cell r="E147" t="str">
            <v>ネオアミユー</v>
          </cell>
        </row>
        <row r="148">
          <cell r="E148" t="str">
            <v>プレアミン-P</v>
          </cell>
        </row>
        <row r="149">
          <cell r="E149" t="str">
            <v>プロテアミン12</v>
          </cell>
        </row>
        <row r="150">
          <cell r="E150" t="str">
            <v>プロテアミン12X</v>
          </cell>
        </row>
        <row r="151">
          <cell r="E151" t="str">
            <v>プロテアミン12X</v>
          </cell>
        </row>
        <row r="152">
          <cell r="E152" t="str">
            <v>モリアミンS</v>
          </cell>
        </row>
        <row r="153">
          <cell r="E153" t="str">
            <v>モリプロンF</v>
          </cell>
        </row>
        <row r="154">
          <cell r="E154" t="str">
            <v>モリヘパミン</v>
          </cell>
        </row>
        <row r="155">
          <cell r="E155" t="str">
            <v>アミカリック輸液</v>
          </cell>
        </row>
        <row r="156">
          <cell r="E156" t="str">
            <v>アミグランド輸液</v>
          </cell>
        </row>
        <row r="157">
          <cell r="E157" t="str">
            <v>アミノフリード</v>
          </cell>
        </row>
        <row r="158">
          <cell r="E158" t="str">
            <v>ツインパル輸液</v>
          </cell>
        </row>
        <row r="159">
          <cell r="E159" t="str">
            <v>パレセーフ輸液</v>
          </cell>
        </row>
        <row r="160">
          <cell r="E160" t="str">
            <v>ビーフリード</v>
          </cell>
        </row>
        <row r="161">
          <cell r="E161" t="str">
            <v>プラスアミノ輸液</v>
          </cell>
        </row>
        <row r="162">
          <cell r="E162" t="str">
            <v>マックアミン輸液</v>
          </cell>
        </row>
        <row r="163">
          <cell r="E163" t="str">
            <v>脂肪乳剤</v>
          </cell>
        </row>
        <row r="164">
          <cell r="E164" t="str">
            <v>イントラリポス10%</v>
          </cell>
        </row>
        <row r="165">
          <cell r="E165" t="str">
            <v>イントラリポス20%</v>
          </cell>
        </row>
        <row r="166">
          <cell r="E166" t="str">
            <v>イントラファット注10%</v>
          </cell>
        </row>
        <row r="167">
          <cell r="E167" t="str">
            <v>イントラファット注20%</v>
          </cell>
        </row>
        <row r="168">
          <cell r="E168" t="str">
            <v>イントラリピッド10%</v>
          </cell>
        </row>
        <row r="169">
          <cell r="E169" t="str">
            <v>イントラリピッド20%</v>
          </cell>
        </row>
        <row r="170">
          <cell r="E170" t="str">
            <v>1%プロポフォール注</v>
          </cell>
        </row>
        <row r="171">
          <cell r="E171" t="str">
            <v>1%ディプリバン注</v>
          </cell>
        </row>
        <row r="172">
          <cell r="E172" t="str">
            <v>追加</v>
          </cell>
        </row>
        <row r="173">
          <cell r="E173" t="str">
            <v>アミカリック輸液</v>
          </cell>
        </row>
        <row r="174">
          <cell r="E174" t="str">
            <v>アミグランド輸液</v>
          </cell>
        </row>
        <row r="175">
          <cell r="E175" t="str">
            <v>グリセオール注</v>
          </cell>
        </row>
        <row r="176">
          <cell r="E176" t="str">
            <v>グリマッケン</v>
          </cell>
        </row>
        <row r="177">
          <cell r="E177" t="str">
            <v>低分子デキストランL注</v>
          </cell>
        </row>
        <row r="178">
          <cell r="E178" t="str">
            <v>パレセーフ輸液</v>
          </cell>
        </row>
        <row r="179">
          <cell r="E179" t="str">
            <v>ビーフリード</v>
          </cell>
        </row>
        <row r="180">
          <cell r="E180" t="str">
            <v>プラスアミノ輸液</v>
          </cell>
        </row>
        <row r="181">
          <cell r="E181" t="str">
            <v>マックアミン輸液</v>
          </cell>
        </row>
        <row r="182">
          <cell r="E182" t="str">
            <v>抗生剤</v>
          </cell>
        </row>
        <row r="183">
          <cell r="E183" t="str">
            <v>クラフォラン(g)</v>
          </cell>
        </row>
        <row r="184">
          <cell r="E184" t="str">
            <v>セファメジンα(g)</v>
          </cell>
        </row>
        <row r="185">
          <cell r="E185" t="str">
            <v>パンスポリン(g)</v>
          </cell>
        </row>
        <row r="186">
          <cell r="E186" t="str">
            <v>フルマリン(g)</v>
          </cell>
        </row>
        <row r="187">
          <cell r="E187" t="str">
            <v>ペントシリン(g)</v>
          </cell>
        </row>
        <row r="188">
          <cell r="E188" t="str">
            <v>ホスミシンS(g)</v>
          </cell>
        </row>
        <row r="189">
          <cell r="E189" t="str">
            <v>ミノマイシン(g)</v>
          </cell>
        </row>
        <row r="190">
          <cell r="E190" t="str">
            <v>ロセフィン(g)</v>
          </cell>
        </row>
        <row r="191">
          <cell r="E191" t="str">
            <v>栄養剤</v>
          </cell>
        </row>
        <row r="192">
          <cell r="E192" t="str">
            <v>アミノレバンEN(50g=200mL)</v>
          </cell>
        </row>
        <row r="193">
          <cell r="E193" t="str">
            <v>リーバクト(1包=4.15g)</v>
          </cell>
        </row>
        <row r="194">
          <cell r="E194" t="str">
            <v>エンシュアH(1缶=250mL)</v>
          </cell>
        </row>
        <row r="195">
          <cell r="E195" t="str">
            <v>エレンタール(80g=300mL)</v>
          </cell>
        </row>
        <row r="196">
          <cell r="E196" t="str">
            <v>ラコール</v>
          </cell>
        </row>
        <row r="197">
          <cell r="E197" t="str">
            <v>リーナレンPro3.5</v>
          </cell>
        </row>
        <row r="198">
          <cell r="E198" t="str">
            <v>リーナレンPro1.0</v>
          </cell>
        </row>
        <row r="199">
          <cell r="E199" t="str">
            <v>インスロー</v>
          </cell>
        </row>
        <row r="200">
          <cell r="E200" t="str">
            <v>メディエフバッグ</v>
          </cell>
        </row>
        <row r="201">
          <cell r="E201" t="str">
            <v>サンエット-L</v>
          </cell>
        </row>
        <row r="202">
          <cell r="E202" t="str">
            <v>エフツーアルファバッグ</v>
          </cell>
        </row>
        <row r="203">
          <cell r="E203" t="str">
            <v>エフツーアルファブリック</v>
          </cell>
        </row>
        <row r="204">
          <cell r="E204" t="str">
            <v>リカバリーSOY</v>
          </cell>
        </row>
        <row r="205">
          <cell r="E205" t="str">
            <v>インパクト</v>
          </cell>
        </row>
        <row r="206">
          <cell r="E206" t="str">
            <v>ライフロン6ブリック</v>
          </cell>
        </row>
        <row r="207">
          <cell r="E207" t="str">
            <v>ライフロン6バッグ</v>
          </cell>
        </row>
        <row r="208">
          <cell r="E208" t="str">
            <v>最終行</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vector.co.jp/soft/data/business/se49121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T69"/>
  <sheetViews>
    <sheetView tabSelected="1" zoomScaleNormal="100" workbookViewId="0"/>
  </sheetViews>
  <sheetFormatPr defaultRowHeight="13.5"/>
  <cols>
    <col min="1" max="1" width="4.625" customWidth="1"/>
    <col min="2" max="2" width="12.625" customWidth="1"/>
    <col min="3" max="3" width="16.625" customWidth="1"/>
    <col min="4" max="4" width="6.625" customWidth="1"/>
    <col min="5" max="5" width="4.625" customWidth="1"/>
    <col min="6" max="6" width="12.625" customWidth="1"/>
    <col min="7" max="7" width="16.625" customWidth="1"/>
    <col min="8" max="8" width="6.625" customWidth="1"/>
    <col min="9" max="9" width="4.625" customWidth="1"/>
    <col min="10" max="10" width="12.625" customWidth="1"/>
    <col min="11" max="12" width="6.625" customWidth="1"/>
    <col min="13" max="13" width="4.625" customWidth="1"/>
    <col min="14" max="14" width="12.625" customWidth="1"/>
    <col min="15" max="16" width="6.625" customWidth="1"/>
    <col min="17" max="18" width="4.625" customWidth="1"/>
    <col min="19" max="20" width="6.625" customWidth="1"/>
    <col min="21" max="22" width="4.625" customWidth="1"/>
  </cols>
  <sheetData>
    <row r="1" spans="2:16" ht="14.25" thickBot="1"/>
    <row r="2" spans="2:16" ht="20.100000000000001" customHeight="1" thickBot="1">
      <c r="B2" s="112" t="s">
        <v>337</v>
      </c>
      <c r="C2" s="113"/>
      <c r="D2" s="114"/>
      <c r="F2" s="117" t="s">
        <v>340</v>
      </c>
      <c r="G2" s="118"/>
      <c r="H2" s="119"/>
      <c r="J2" s="94"/>
      <c r="N2" s="103" t="s">
        <v>341</v>
      </c>
      <c r="O2" s="104"/>
      <c r="P2" s="105"/>
    </row>
    <row r="3" spans="2:16" ht="15" thickTop="1" thickBot="1">
      <c r="B3" s="54" t="s">
        <v>1015</v>
      </c>
      <c r="C3" s="55" t="s">
        <v>338</v>
      </c>
      <c r="D3" s="56" t="s">
        <v>339</v>
      </c>
      <c r="F3" s="28" t="s">
        <v>1015</v>
      </c>
      <c r="G3" s="29" t="s">
        <v>338</v>
      </c>
      <c r="H3" s="30" t="s">
        <v>339</v>
      </c>
      <c r="J3" s="95" t="s">
        <v>1207</v>
      </c>
      <c r="N3" s="106" t="s">
        <v>632</v>
      </c>
      <c r="O3" s="107"/>
      <c r="P3" s="108"/>
    </row>
    <row r="4" spans="2:16" ht="15" thickTop="1" thickBot="1">
      <c r="B4" s="57"/>
      <c r="C4" s="58"/>
      <c r="D4" s="59"/>
      <c r="F4" s="46"/>
      <c r="G4" s="97"/>
      <c r="H4" s="47"/>
      <c r="J4" s="96" t="s">
        <v>1236</v>
      </c>
      <c r="N4" s="109" t="s">
        <v>1076</v>
      </c>
      <c r="O4" s="110"/>
      <c r="P4" s="111"/>
    </row>
    <row r="5" spans="2:16">
      <c r="B5" s="8"/>
      <c r="C5" s="7"/>
      <c r="D5" s="9"/>
      <c r="F5" s="48"/>
      <c r="G5" s="98"/>
      <c r="H5" s="14"/>
      <c r="N5" s="109" t="s">
        <v>201</v>
      </c>
      <c r="O5" s="110"/>
      <c r="P5" s="111"/>
    </row>
    <row r="6" spans="2:16">
      <c r="B6" s="8"/>
      <c r="C6" s="7"/>
      <c r="D6" s="9"/>
      <c r="F6" s="48"/>
      <c r="G6" s="98"/>
      <c r="H6" s="14"/>
      <c r="J6" s="31" t="str">
        <f>IF(AND(ISNUMBER(J4),J4&gt;0),"/kg","")</f>
        <v/>
      </c>
      <c r="N6" s="109" t="s">
        <v>150</v>
      </c>
      <c r="O6" s="110"/>
      <c r="P6" s="111"/>
    </row>
    <row r="7" spans="2:16" ht="14.25" thickBot="1">
      <c r="B7" s="8"/>
      <c r="C7" s="7"/>
      <c r="D7" s="9"/>
      <c r="F7" s="48"/>
      <c r="G7" s="98"/>
      <c r="H7" s="14"/>
      <c r="J7" s="31">
        <f>IF(J6="/kg",IF(J4&lt;200,J4,J4/1000),1)</f>
        <v>1</v>
      </c>
      <c r="N7" s="109" t="s">
        <v>1047</v>
      </c>
      <c r="O7" s="110"/>
      <c r="P7" s="111"/>
    </row>
    <row r="8" spans="2:16" ht="14.25" thickTop="1">
      <c r="B8" s="8"/>
      <c r="C8" s="7"/>
      <c r="D8" s="9"/>
      <c r="F8" s="49"/>
      <c r="G8" s="98"/>
      <c r="H8" s="14"/>
      <c r="J8" s="52" t="s">
        <v>1134</v>
      </c>
      <c r="N8" s="109" t="s">
        <v>1077</v>
      </c>
      <c r="O8" s="110"/>
      <c r="P8" s="111"/>
    </row>
    <row r="9" spans="2:16" ht="14.25" thickBot="1">
      <c r="B9" s="8"/>
      <c r="C9" s="7"/>
      <c r="D9" s="9"/>
      <c r="F9" s="49"/>
      <c r="G9" s="98"/>
      <c r="H9" s="14"/>
      <c r="J9" s="53" t="s">
        <v>1258</v>
      </c>
      <c r="N9" s="109" t="s">
        <v>561</v>
      </c>
      <c r="O9" s="110"/>
      <c r="P9" s="111"/>
    </row>
    <row r="10" spans="2:16" ht="15" thickTop="1" thickBot="1">
      <c r="B10" s="8"/>
      <c r="C10" s="7"/>
      <c r="D10" s="9"/>
      <c r="F10" s="49"/>
      <c r="G10" s="98"/>
      <c r="H10" s="14"/>
      <c r="N10" s="109" t="s">
        <v>1052</v>
      </c>
      <c r="O10" s="110"/>
      <c r="P10" s="111"/>
    </row>
    <row r="11" spans="2:16">
      <c r="B11" s="8"/>
      <c r="C11" s="7"/>
      <c r="D11" s="9"/>
      <c r="F11" s="49"/>
      <c r="G11" s="98"/>
      <c r="H11" s="14"/>
      <c r="J11" s="67" t="s">
        <v>1140</v>
      </c>
      <c r="N11" s="109"/>
      <c r="O11" s="110"/>
      <c r="P11" s="111"/>
    </row>
    <row r="12" spans="2:16" ht="14.25" thickBot="1">
      <c r="B12" s="8"/>
      <c r="C12" s="7"/>
      <c r="D12" s="9"/>
      <c r="F12" s="49"/>
      <c r="G12" s="98"/>
      <c r="H12" s="14"/>
      <c r="J12" s="61" t="str">
        <f ca="1">ADDRESS(CELL("row"),CELL("col"),4)</f>
        <v>A79</v>
      </c>
      <c r="N12" s="109"/>
      <c r="O12" s="110"/>
      <c r="P12" s="111"/>
    </row>
    <row r="13" spans="2:16" ht="14.25" thickBot="1">
      <c r="B13" s="8"/>
      <c r="C13" s="7"/>
      <c r="D13" s="9"/>
      <c r="F13" s="50"/>
      <c r="G13" s="99"/>
      <c r="H13" s="51"/>
      <c r="N13" s="109"/>
      <c r="O13" s="110"/>
      <c r="P13" s="111"/>
    </row>
    <row r="14" spans="2:16" ht="14.25" thickTop="1">
      <c r="B14" s="8"/>
      <c r="C14" s="7"/>
      <c r="D14" s="9"/>
      <c r="F14" s="122" t="s">
        <v>1054</v>
      </c>
      <c r="G14" s="123"/>
      <c r="H14" s="90">
        <f>計算!E52</f>
        <v>0</v>
      </c>
      <c r="N14" s="109"/>
      <c r="O14" s="110"/>
      <c r="P14" s="111"/>
    </row>
    <row r="15" spans="2:16" ht="14.25" thickBot="1">
      <c r="B15" s="11"/>
      <c r="C15" s="12"/>
      <c r="D15" s="13"/>
      <c r="F15" s="127" t="s">
        <v>1055</v>
      </c>
      <c r="G15" s="128"/>
      <c r="H15" s="51">
        <f>H14</f>
        <v>0</v>
      </c>
      <c r="N15" s="109"/>
      <c r="O15" s="110"/>
      <c r="P15" s="111"/>
    </row>
    <row r="16" spans="2:16" ht="15" thickTop="1" thickBot="1">
      <c r="B16" s="115" t="s">
        <v>1053</v>
      </c>
      <c r="C16" s="116"/>
      <c r="D16" s="10">
        <f>計算!E28</f>
        <v>0</v>
      </c>
      <c r="F16" s="120" t="s">
        <v>1139</v>
      </c>
      <c r="G16" s="121"/>
      <c r="H16" s="60" t="str">
        <f>IF(ISERROR(計算!CK52)=TRUE,"----",IF(F16="浸透圧 (mEq/L)",計算!CK52,ROUND(計算!CK52/285,1)))</f>
        <v>----</v>
      </c>
      <c r="N16" s="124"/>
      <c r="O16" s="125"/>
      <c r="P16" s="126"/>
    </row>
    <row r="18" spans="2:20" ht="14.25" thickBot="1"/>
    <row r="19" spans="2:20" ht="14.25" thickBot="1">
      <c r="B19" s="100" t="s">
        <v>634</v>
      </c>
      <c r="C19" s="101"/>
      <c r="D19" s="102"/>
      <c r="F19" s="100" t="s">
        <v>369</v>
      </c>
      <c r="G19" s="101"/>
      <c r="H19" s="102"/>
      <c r="J19" s="100" t="s">
        <v>1078</v>
      </c>
      <c r="K19" s="101"/>
      <c r="L19" s="102"/>
      <c r="N19" s="100" t="s">
        <v>610</v>
      </c>
      <c r="O19" s="101"/>
      <c r="P19" s="102"/>
      <c r="R19" s="100" t="s">
        <v>562</v>
      </c>
      <c r="S19" s="101"/>
      <c r="T19" s="102"/>
    </row>
    <row r="20" spans="2:20" ht="14.25" thickTop="1">
      <c r="B20" s="82" t="s">
        <v>349</v>
      </c>
      <c r="C20" s="37">
        <f t="shared" ref="C20:C25" si="0">IF(ISERROR(INDEX(計算結果,55,MATCH(B20,計算シート成分名,0))/$J$7),"---",INDEX(計算結果,55,MATCH(B20,計算シート成分名,0))/$J$7)</f>
        <v>0</v>
      </c>
      <c r="D20" s="62" t="str">
        <f>D47&amp;$J$6</f>
        <v>ml</v>
      </c>
      <c r="F20" s="24" t="s">
        <v>563</v>
      </c>
      <c r="G20" s="40">
        <f>G47/$J$7*IF($J$9="グラム",F47,1)</f>
        <v>0</v>
      </c>
      <c r="H20" s="65" t="str">
        <f>H47&amp;$J$6</f>
        <v>mEq</v>
      </c>
      <c r="J20" s="85" t="s">
        <v>590</v>
      </c>
      <c r="K20" s="78" t="str">
        <f>IF(ISERROR(INDEX(計算結果,55,MATCH(J20,計算シート成分名,0))*1),"---",INDEX(計算結果,55,MATCH(J20,計算シート成分名,0)))</f>
        <v>---</v>
      </c>
      <c r="L20" s="36" t="s">
        <v>615</v>
      </c>
      <c r="N20" s="26" t="s">
        <v>593</v>
      </c>
      <c r="O20" s="43">
        <f t="shared" ref="O20:O32" si="1">IF(ISERROR(INDEX(計算結果,55,MATCH(N20,計算シート成分名,0))/$J$7),"---",INDEX(計算結果,55,MATCH(N20,計算シート成分名,0))/$J$7)</f>
        <v>0</v>
      </c>
      <c r="P20" s="15" t="str">
        <f>P47&amp;$J$6</f>
        <v>mg</v>
      </c>
      <c r="R20" s="24" t="s">
        <v>567</v>
      </c>
      <c r="S20" s="44">
        <f t="shared" ref="S20:S25" si="2">IF(ISERROR(INDEX(計算結果,55,MATCH(R20,計算シート成分名,0))/$J$7),"---",INDEX(計算結果,55,MATCH(R20,計算シート成分名,0))/$J$7)</f>
        <v>0</v>
      </c>
      <c r="T20" s="36" t="str">
        <f>T47&amp;$J$6</f>
        <v>mg</v>
      </c>
    </row>
    <row r="21" spans="2:20">
      <c r="B21" s="83" t="s">
        <v>623</v>
      </c>
      <c r="C21" s="38">
        <f t="shared" si="0"/>
        <v>0</v>
      </c>
      <c r="D21" s="63" t="str">
        <f t="shared" ref="D21:D25" si="3">D48&amp;$J$6</f>
        <v>g</v>
      </c>
      <c r="F21" s="81" t="s">
        <v>611</v>
      </c>
      <c r="G21" s="38">
        <f>G47*(F47+F52)/$J$7/1000</f>
        <v>0</v>
      </c>
      <c r="H21" s="63" t="str">
        <f t="shared" ref="H21:H33" si="4">H48&amp;$J$6</f>
        <v>g</v>
      </c>
      <c r="J21" s="81" t="s">
        <v>591</v>
      </c>
      <c r="K21" s="38">
        <f>IF(ISERROR(INDEX(計算結果,55,MATCH(J21,計算シート成分名,0))/$J$7),"---",INDEX(計算結果,55,MATCH(J21,計算シート成分名,0))/$J$7)</f>
        <v>0</v>
      </c>
      <c r="L21" s="15" t="str">
        <f>L68&amp;$J$6</f>
        <v>g</v>
      </c>
      <c r="N21" s="25" t="s">
        <v>594</v>
      </c>
      <c r="O21" s="43">
        <f t="shared" si="1"/>
        <v>0</v>
      </c>
      <c r="P21" s="15" t="str">
        <f t="shared" ref="P21:P32" si="5">P48&amp;$J$6</f>
        <v>mg</v>
      </c>
      <c r="R21" s="25" t="s">
        <v>606</v>
      </c>
      <c r="S21" s="43">
        <f t="shared" si="2"/>
        <v>0</v>
      </c>
      <c r="T21" s="15" t="str">
        <f t="shared" ref="T21:T25" si="6">T48&amp;$J$6</f>
        <v>mg</v>
      </c>
    </row>
    <row r="22" spans="2:20" ht="14.25" thickBot="1">
      <c r="B22" s="83" t="s">
        <v>624</v>
      </c>
      <c r="C22" s="38">
        <f t="shared" si="0"/>
        <v>0</v>
      </c>
      <c r="D22" s="63" t="str">
        <f t="shared" si="3"/>
        <v>g</v>
      </c>
      <c r="F22" s="25" t="s">
        <v>564</v>
      </c>
      <c r="G22" s="38">
        <f>G49/$J$7*IF($J$9="グラム",F49,1)</f>
        <v>0</v>
      </c>
      <c r="H22" s="63" t="str">
        <f t="shared" si="4"/>
        <v>mEq</v>
      </c>
      <c r="J22" s="86" t="s">
        <v>592</v>
      </c>
      <c r="K22" s="79" t="str">
        <f>IF(ISERROR(INDEX(計算結果,55,MATCH(J22,計算シート成分名,0))*1),"---",INDEX(計算結果,55,MATCH(J22,計算シート成分名,0)))</f>
        <v>---</v>
      </c>
      <c r="L22" s="80" t="s">
        <v>630</v>
      </c>
      <c r="N22" s="25" t="s">
        <v>595</v>
      </c>
      <c r="O22" s="43">
        <f t="shared" si="1"/>
        <v>0</v>
      </c>
      <c r="P22" s="15" t="str">
        <f t="shared" si="5"/>
        <v>mg</v>
      </c>
      <c r="R22" s="25" t="s">
        <v>607</v>
      </c>
      <c r="S22" s="43">
        <f t="shared" si="2"/>
        <v>0</v>
      </c>
      <c r="T22" s="15" t="str">
        <f t="shared" si="6"/>
        <v>mg</v>
      </c>
    </row>
    <row r="23" spans="2:20" ht="14.25" thickTop="1">
      <c r="B23" s="83" t="s">
        <v>625</v>
      </c>
      <c r="C23" s="38">
        <f t="shared" si="0"/>
        <v>0</v>
      </c>
      <c r="D23" s="63" t="str">
        <f t="shared" si="3"/>
        <v>g</v>
      </c>
      <c r="F23" s="25" t="s">
        <v>345</v>
      </c>
      <c r="G23" s="38">
        <f>G50/$J$7*IF($J$9="グラム",F50/2,1)</f>
        <v>0</v>
      </c>
      <c r="H23" s="63" t="str">
        <f t="shared" si="4"/>
        <v>mEq</v>
      </c>
      <c r="J23" s="87" t="s">
        <v>570</v>
      </c>
      <c r="K23" s="77">
        <f t="shared" ref="K23:K42" si="7">IF(ISERROR(INDEX(計算結果,55,MATCH(J23,計算シート成分名,0))/$J$7),"---",INDEX(計算結果,55,MATCH(J23,計算シート成分名,0))/$J$7)</f>
        <v>0</v>
      </c>
      <c r="L23" s="17" t="str">
        <f>L47&amp;$J$6</f>
        <v>g</v>
      </c>
      <c r="N23" s="25" t="s">
        <v>596</v>
      </c>
      <c r="O23" s="43">
        <f t="shared" si="1"/>
        <v>0</v>
      </c>
      <c r="P23" s="15" t="str">
        <f t="shared" si="5"/>
        <v>µg</v>
      </c>
      <c r="R23" s="25" t="s">
        <v>608</v>
      </c>
      <c r="S23" s="43">
        <f t="shared" si="2"/>
        <v>0</v>
      </c>
      <c r="T23" s="15" t="str">
        <f t="shared" si="6"/>
        <v>mg</v>
      </c>
    </row>
    <row r="24" spans="2:20">
      <c r="B24" s="83" t="s">
        <v>626</v>
      </c>
      <c r="C24" s="38">
        <f t="shared" si="0"/>
        <v>0</v>
      </c>
      <c r="D24" s="63" t="str">
        <f t="shared" si="3"/>
        <v>kcal</v>
      </c>
      <c r="F24" s="25" t="s">
        <v>346</v>
      </c>
      <c r="G24" s="38">
        <f>G51/$J$7*IF($J$9="グラム",F51/2,1)</f>
        <v>0</v>
      </c>
      <c r="H24" s="63" t="str">
        <f t="shared" si="4"/>
        <v>mEq</v>
      </c>
      <c r="J24" s="81" t="s">
        <v>571</v>
      </c>
      <c r="K24" s="43">
        <f t="shared" si="7"/>
        <v>0</v>
      </c>
      <c r="L24" s="15" t="str">
        <f t="shared" ref="L24:L42" si="8">L48&amp;$J$6</f>
        <v>g</v>
      </c>
      <c r="N24" s="25" t="s">
        <v>597</v>
      </c>
      <c r="O24" s="43">
        <f t="shared" si="1"/>
        <v>0</v>
      </c>
      <c r="P24" s="15" t="str">
        <f t="shared" si="5"/>
        <v>mg</v>
      </c>
      <c r="R24" s="25" t="s">
        <v>609</v>
      </c>
      <c r="S24" s="43">
        <f t="shared" si="2"/>
        <v>0</v>
      </c>
      <c r="T24" s="15" t="str">
        <f t="shared" si="6"/>
        <v>µg</v>
      </c>
    </row>
    <row r="25" spans="2:20" ht="14.25" thickBot="1">
      <c r="B25" s="83" t="s">
        <v>1231</v>
      </c>
      <c r="C25" s="38">
        <f t="shared" si="0"/>
        <v>0</v>
      </c>
      <c r="D25" s="63" t="str">
        <f t="shared" si="3"/>
        <v>kcal</v>
      </c>
      <c r="F25" s="25" t="s">
        <v>565</v>
      </c>
      <c r="G25" s="38">
        <f>G52/$J$7*IF($J$9="グラム",F52,1)</f>
        <v>0</v>
      </c>
      <c r="H25" s="63" t="str">
        <f t="shared" si="4"/>
        <v>mEq</v>
      </c>
      <c r="J25" s="81" t="s">
        <v>572</v>
      </c>
      <c r="K25" s="43">
        <f t="shared" si="7"/>
        <v>0</v>
      </c>
      <c r="L25" s="15" t="str">
        <f t="shared" si="8"/>
        <v>g</v>
      </c>
      <c r="N25" s="25" t="s">
        <v>598</v>
      </c>
      <c r="O25" s="43">
        <f t="shared" si="1"/>
        <v>0</v>
      </c>
      <c r="P25" s="15" t="str">
        <f t="shared" si="5"/>
        <v>mg</v>
      </c>
      <c r="R25" s="27" t="s">
        <v>985</v>
      </c>
      <c r="S25" s="45">
        <f t="shared" si="2"/>
        <v>0</v>
      </c>
      <c r="T25" s="16" t="str">
        <f t="shared" si="6"/>
        <v>µg</v>
      </c>
    </row>
    <row r="26" spans="2:20">
      <c r="B26" s="83" t="s">
        <v>1230</v>
      </c>
      <c r="C26" s="38" t="str">
        <f>IF(ISERROR(INDEX(計算結果,55,MATCH(B26,計算シート成分名,0))),"---",INDEX(計算結果,55,MATCH(B26,計算シート成分名,0)))</f>
        <v>---</v>
      </c>
      <c r="D26" s="63" t="s">
        <v>615</v>
      </c>
      <c r="F26" s="25" t="s">
        <v>568</v>
      </c>
      <c r="G26" s="38">
        <f>G53/$J$7*IF($J$9="グラム",F53/2,1)</f>
        <v>0</v>
      </c>
      <c r="H26" s="63" t="str">
        <f t="shared" si="4"/>
        <v>mEq</v>
      </c>
      <c r="J26" s="81" t="s">
        <v>573</v>
      </c>
      <c r="K26" s="43">
        <f t="shared" si="7"/>
        <v>0</v>
      </c>
      <c r="L26" s="15" t="str">
        <f t="shared" si="8"/>
        <v>g</v>
      </c>
      <c r="N26" s="25" t="s">
        <v>599</v>
      </c>
      <c r="O26" s="43">
        <f t="shared" si="1"/>
        <v>0</v>
      </c>
      <c r="P26" s="15" t="str">
        <f t="shared" si="5"/>
        <v>µg</v>
      </c>
    </row>
    <row r="27" spans="2:20">
      <c r="B27" s="83" t="s">
        <v>612</v>
      </c>
      <c r="C27" s="38">
        <f>IF(ISERROR(INDEX(計算結果,55,MATCH(B27,計算シート成分名,0))/$J$7),"---",INDEX(計算結果,55,MATCH(B27,計算シート成分名,0))/$J$7)</f>
        <v>0</v>
      </c>
      <c r="D27" s="63" t="str">
        <f t="shared" ref="D27:D29" si="9">D54&amp;$J$6</f>
        <v>kcal</v>
      </c>
      <c r="F27" s="22" t="s">
        <v>566</v>
      </c>
      <c r="G27" s="38">
        <f t="shared" ref="G27:G33" si="10">G54/$J$7*IF($J$9="グラム",F54,1)</f>
        <v>0</v>
      </c>
      <c r="H27" s="63" t="str">
        <f t="shared" si="4"/>
        <v>mEq</v>
      </c>
      <c r="J27" s="81" t="s">
        <v>574</v>
      </c>
      <c r="K27" s="43">
        <f t="shared" si="7"/>
        <v>0</v>
      </c>
      <c r="L27" s="15" t="str">
        <f t="shared" si="8"/>
        <v>g</v>
      </c>
      <c r="N27" s="25" t="s">
        <v>600</v>
      </c>
      <c r="O27" s="43">
        <f t="shared" si="1"/>
        <v>0</v>
      </c>
      <c r="P27" s="15" t="str">
        <f t="shared" si="5"/>
        <v>µg</v>
      </c>
    </row>
    <row r="28" spans="2:20">
      <c r="B28" s="83" t="s">
        <v>613</v>
      </c>
      <c r="C28" s="38">
        <f>IF(ISERROR(INDEX(計算結果,55,MATCH(B28,計算シート成分名,0))/$J$7),"---",INDEX(計算結果,55,MATCH(B28,計算シート成分名,0))/$J$7)</f>
        <v>0</v>
      </c>
      <c r="D28" s="63" t="str">
        <f t="shared" si="9"/>
        <v>kcal</v>
      </c>
      <c r="F28" s="25" t="s">
        <v>1208</v>
      </c>
      <c r="G28" s="38">
        <f t="shared" si="10"/>
        <v>0</v>
      </c>
      <c r="H28" s="63" t="str">
        <f t="shared" si="4"/>
        <v>mEq</v>
      </c>
      <c r="J28" s="81" t="s">
        <v>575</v>
      </c>
      <c r="K28" s="43">
        <f t="shared" si="7"/>
        <v>0</v>
      </c>
      <c r="L28" s="15" t="str">
        <f t="shared" si="8"/>
        <v>g</v>
      </c>
      <c r="N28" s="25" t="s">
        <v>601</v>
      </c>
      <c r="O28" s="43">
        <f t="shared" si="1"/>
        <v>0</v>
      </c>
      <c r="P28" s="15" t="str">
        <f t="shared" si="5"/>
        <v>mg</v>
      </c>
    </row>
    <row r="29" spans="2:20" ht="14.25" thickBot="1">
      <c r="B29" s="84" t="s">
        <v>614</v>
      </c>
      <c r="C29" s="39">
        <f>IF(ISERROR(INDEX(計算結果,55,MATCH(B29,計算シート成分名,0))/$J$7),"---",INDEX(計算結果,55,MATCH(B29,計算シート成分名,0))/$J$7)</f>
        <v>0</v>
      </c>
      <c r="D29" s="64" t="str">
        <f t="shared" si="9"/>
        <v>kcal</v>
      </c>
      <c r="F29" s="25" t="s">
        <v>1209</v>
      </c>
      <c r="G29" s="38">
        <f t="shared" si="10"/>
        <v>0</v>
      </c>
      <c r="H29" s="63" t="str">
        <f t="shared" si="4"/>
        <v>mEq</v>
      </c>
      <c r="J29" s="81" t="s">
        <v>576</v>
      </c>
      <c r="K29" s="43">
        <f t="shared" si="7"/>
        <v>0</v>
      </c>
      <c r="L29" s="15" t="str">
        <f t="shared" si="8"/>
        <v>g</v>
      </c>
      <c r="N29" s="25" t="s">
        <v>602</v>
      </c>
      <c r="O29" s="43">
        <f t="shared" si="1"/>
        <v>0</v>
      </c>
      <c r="P29" s="15" t="str">
        <f t="shared" si="5"/>
        <v>IU</v>
      </c>
    </row>
    <row r="30" spans="2:20" ht="14.25" thickBot="1">
      <c r="B30" s="91" t="s">
        <v>1204</v>
      </c>
      <c r="C30" s="92">
        <f>IF(J4=0,"---",INDEX(計算結果,55,MATCH("Glu",計算シート成分名,0))*1000/$J$7/60)</f>
        <v>0</v>
      </c>
      <c r="D30" s="93" t="s">
        <v>1205</v>
      </c>
      <c r="F30" s="25" t="s">
        <v>1210</v>
      </c>
      <c r="G30" s="38">
        <f t="shared" si="10"/>
        <v>0</v>
      </c>
      <c r="H30" s="63" t="str">
        <f t="shared" si="4"/>
        <v>mEq</v>
      </c>
      <c r="J30" s="81" t="s">
        <v>577</v>
      </c>
      <c r="K30" s="43">
        <f t="shared" si="7"/>
        <v>0</v>
      </c>
      <c r="L30" s="15" t="str">
        <f t="shared" si="8"/>
        <v>g</v>
      </c>
      <c r="N30" s="25" t="s">
        <v>603</v>
      </c>
      <c r="O30" s="43">
        <f t="shared" si="1"/>
        <v>0</v>
      </c>
      <c r="P30" s="15" t="str">
        <f t="shared" si="5"/>
        <v>µg</v>
      </c>
    </row>
    <row r="31" spans="2:20" ht="14.25" thickBot="1">
      <c r="F31" s="25" t="s">
        <v>1211</v>
      </c>
      <c r="G31" s="38">
        <f t="shared" si="10"/>
        <v>0</v>
      </c>
      <c r="H31" s="63" t="str">
        <f t="shared" si="4"/>
        <v>mEq</v>
      </c>
      <c r="J31" s="81" t="s">
        <v>578</v>
      </c>
      <c r="K31" s="43">
        <f t="shared" si="7"/>
        <v>0</v>
      </c>
      <c r="L31" s="15" t="str">
        <f t="shared" si="8"/>
        <v>g</v>
      </c>
      <c r="N31" s="25" t="s">
        <v>604</v>
      </c>
      <c r="O31" s="43">
        <f t="shared" si="1"/>
        <v>0</v>
      </c>
      <c r="P31" s="15" t="str">
        <f t="shared" si="5"/>
        <v>mg</v>
      </c>
    </row>
    <row r="32" spans="2:20" ht="14.25" thickBot="1">
      <c r="B32" s="100" t="s">
        <v>627</v>
      </c>
      <c r="C32" s="101"/>
      <c r="D32" s="102"/>
      <c r="F32" s="25" t="s">
        <v>1212</v>
      </c>
      <c r="G32" s="38">
        <f t="shared" si="10"/>
        <v>0</v>
      </c>
      <c r="H32" s="63" t="str">
        <f t="shared" si="4"/>
        <v>mEq</v>
      </c>
      <c r="J32" s="81" t="s">
        <v>579</v>
      </c>
      <c r="K32" s="43">
        <f t="shared" si="7"/>
        <v>0</v>
      </c>
      <c r="L32" s="15" t="str">
        <f t="shared" si="8"/>
        <v>g</v>
      </c>
      <c r="N32" s="27" t="s">
        <v>605</v>
      </c>
      <c r="O32" s="45">
        <f t="shared" si="1"/>
        <v>0</v>
      </c>
      <c r="P32" s="16" t="str">
        <f t="shared" si="5"/>
        <v>mg</v>
      </c>
    </row>
    <row r="33" spans="2:20" ht="15" thickTop="1" thickBot="1">
      <c r="B33" s="24" t="s">
        <v>370</v>
      </c>
      <c r="C33" s="40" t="str">
        <f>IF(C$24=0," ",C29/C$24*100)</f>
        <v xml:space="preserve"> </v>
      </c>
      <c r="D33" s="17" t="s">
        <v>630</v>
      </c>
      <c r="F33" s="32" t="s">
        <v>569</v>
      </c>
      <c r="G33" s="41">
        <f t="shared" si="10"/>
        <v>0</v>
      </c>
      <c r="H33" s="66" t="str">
        <f t="shared" si="4"/>
        <v>mmol</v>
      </c>
      <c r="J33" s="81" t="s">
        <v>580</v>
      </c>
      <c r="K33" s="43">
        <f t="shared" si="7"/>
        <v>0</v>
      </c>
      <c r="L33" s="15" t="str">
        <f t="shared" si="8"/>
        <v>g</v>
      </c>
    </row>
    <row r="34" spans="2:20">
      <c r="B34" s="22" t="s">
        <v>628</v>
      </c>
      <c r="C34" s="38" t="str">
        <f>IF(C$24=0," ",C28/C$24*100)</f>
        <v xml:space="preserve"> </v>
      </c>
      <c r="D34" s="15" t="s">
        <v>630</v>
      </c>
      <c r="F34" s="33"/>
      <c r="G34" s="34"/>
      <c r="H34" s="35"/>
      <c r="J34" s="81" t="s">
        <v>581</v>
      </c>
      <c r="K34" s="43">
        <f t="shared" si="7"/>
        <v>0</v>
      </c>
      <c r="L34" s="15" t="str">
        <f t="shared" si="8"/>
        <v>g</v>
      </c>
    </row>
    <row r="35" spans="2:20" ht="14.25" thickBot="1">
      <c r="B35" s="23" t="s">
        <v>629</v>
      </c>
      <c r="C35" s="39" t="str">
        <f>IF(C$24=0," ",C27/C$24*100)</f>
        <v xml:space="preserve"> </v>
      </c>
      <c r="D35" s="16" t="s">
        <v>630</v>
      </c>
      <c r="J35" s="81" t="s">
        <v>582</v>
      </c>
      <c r="K35" s="43">
        <f t="shared" si="7"/>
        <v>0</v>
      </c>
      <c r="L35" s="15" t="str">
        <f t="shared" si="8"/>
        <v>g</v>
      </c>
    </row>
    <row r="36" spans="2:20">
      <c r="J36" s="81" t="s">
        <v>583</v>
      </c>
      <c r="K36" s="43">
        <f t="shared" si="7"/>
        <v>0</v>
      </c>
      <c r="L36" s="15" t="str">
        <f t="shared" si="8"/>
        <v>g</v>
      </c>
    </row>
    <row r="37" spans="2:20">
      <c r="J37" s="81" t="s">
        <v>584</v>
      </c>
      <c r="K37" s="43">
        <f t="shared" si="7"/>
        <v>0</v>
      </c>
      <c r="L37" s="15" t="str">
        <f t="shared" si="8"/>
        <v>g</v>
      </c>
    </row>
    <row r="38" spans="2:20">
      <c r="J38" s="81" t="s">
        <v>585</v>
      </c>
      <c r="K38" s="43">
        <f t="shared" si="7"/>
        <v>0</v>
      </c>
      <c r="L38" s="15" t="str">
        <f t="shared" si="8"/>
        <v>g</v>
      </c>
    </row>
    <row r="39" spans="2:20">
      <c r="J39" s="81" t="s">
        <v>586</v>
      </c>
      <c r="K39" s="43">
        <f t="shared" si="7"/>
        <v>0</v>
      </c>
      <c r="L39" s="15" t="str">
        <f t="shared" si="8"/>
        <v>g</v>
      </c>
    </row>
    <row r="40" spans="2:20">
      <c r="J40" s="81" t="s">
        <v>587</v>
      </c>
      <c r="K40" s="43">
        <f t="shared" si="7"/>
        <v>0</v>
      </c>
      <c r="L40" s="15" t="str">
        <f t="shared" si="8"/>
        <v>g</v>
      </c>
    </row>
    <row r="41" spans="2:20">
      <c r="J41" s="81" t="s">
        <v>588</v>
      </c>
      <c r="K41" s="43">
        <f t="shared" si="7"/>
        <v>0</v>
      </c>
      <c r="L41" s="15" t="str">
        <f t="shared" si="8"/>
        <v>g</v>
      </c>
    </row>
    <row r="42" spans="2:20" ht="14.25" thickBot="1">
      <c r="J42" s="88" t="s">
        <v>589</v>
      </c>
      <c r="K42" s="45">
        <f t="shared" si="7"/>
        <v>0</v>
      </c>
      <c r="L42" s="16" t="str">
        <f t="shared" si="8"/>
        <v>g</v>
      </c>
    </row>
    <row r="47" spans="2:20" s="31" customFormat="1">
      <c r="D47" s="31" t="str">
        <f t="shared" ref="D47:D56" si="11">INDEX(計算結果,2,MATCH(B20,計算シート成分名,0))</f>
        <v>ml</v>
      </c>
      <c r="F47" s="31">
        <f t="shared" ref="F47:F60" si="12">INDEX(計算結果,3,MATCH(F20,計算シート成分名,0))</f>
        <v>22.99</v>
      </c>
      <c r="G47" s="31">
        <f>INDEX(計算結果,55,MATCH(F20,計算シート成分名,0))</f>
        <v>0</v>
      </c>
      <c r="H47" s="31" t="str">
        <f>IF($J$9="モル",I47,J47)</f>
        <v>mEq</v>
      </c>
      <c r="I47" s="31" t="str">
        <f>INDEX(計算結果,2,MATCH(F20,計算シート成分名,0))</f>
        <v>mEq</v>
      </c>
      <c r="J47" s="31" t="s">
        <v>1135</v>
      </c>
      <c r="L47" s="31" t="str">
        <f t="shared" ref="L47:L66" si="13">INDEX(計算結果,2,MATCH(J23,計算シート成分名,0))</f>
        <v>g</v>
      </c>
      <c r="P47" s="31" t="str">
        <f t="shared" ref="P47:P59" si="14">INDEX(計算結果,2,MATCH(N20,計算シート成分名,0))</f>
        <v>mg</v>
      </c>
      <c r="T47" s="31" t="str">
        <f t="shared" ref="T47:T52" si="15">INDEX(計算結果,2,MATCH(R20,計算シート成分名,0))</f>
        <v>mg</v>
      </c>
    </row>
    <row r="48" spans="2:20" s="31" customFormat="1">
      <c r="D48" s="31" t="str">
        <f t="shared" si="11"/>
        <v>g</v>
      </c>
      <c r="F48" s="31" t="e">
        <f t="shared" si="12"/>
        <v>#N/A</v>
      </c>
      <c r="G48" s="31">
        <f>G47*($F$47+$F$52)/1000/$J$7</f>
        <v>0</v>
      </c>
      <c r="H48" s="31" t="s">
        <v>1136</v>
      </c>
      <c r="I48" s="31" t="s">
        <v>631</v>
      </c>
      <c r="L48" s="31" t="str">
        <f t="shared" si="13"/>
        <v>g</v>
      </c>
      <c r="P48" s="31" t="str">
        <f t="shared" si="14"/>
        <v>mg</v>
      </c>
      <c r="T48" s="31" t="str">
        <f t="shared" si="15"/>
        <v>mg</v>
      </c>
    </row>
    <row r="49" spans="4:20" s="31" customFormat="1">
      <c r="D49" s="31" t="str">
        <f t="shared" si="11"/>
        <v>g</v>
      </c>
      <c r="F49" s="31">
        <f t="shared" si="12"/>
        <v>39.1</v>
      </c>
      <c r="G49" s="31">
        <f t="shared" ref="G49:G60" si="16">INDEX(計算結果,55,MATCH(F22,計算シート成分名,0))</f>
        <v>0</v>
      </c>
      <c r="H49" s="31" t="str">
        <f t="shared" ref="H49:H60" si="17">IF($J$9="モル",I49,J49)</f>
        <v>mEq</v>
      </c>
      <c r="I49" s="31" t="str">
        <f t="shared" ref="I49:I60" si="18">INDEX(計算結果,2,MATCH(F22,計算シート成分名,0))</f>
        <v>mEq</v>
      </c>
      <c r="J49" s="31" t="s">
        <v>1135</v>
      </c>
      <c r="L49" s="31" t="str">
        <f t="shared" si="13"/>
        <v>g</v>
      </c>
      <c r="P49" s="31" t="str">
        <f t="shared" si="14"/>
        <v>mg</v>
      </c>
      <c r="T49" s="31" t="str">
        <f t="shared" si="15"/>
        <v>mg</v>
      </c>
    </row>
    <row r="50" spans="4:20" s="31" customFormat="1">
      <c r="D50" s="31" t="str">
        <f t="shared" si="11"/>
        <v>g</v>
      </c>
      <c r="F50" s="31">
        <f t="shared" si="12"/>
        <v>40.08</v>
      </c>
      <c r="G50" s="31">
        <f t="shared" si="16"/>
        <v>0</v>
      </c>
      <c r="H50" s="31" t="str">
        <f t="shared" si="17"/>
        <v>mEq</v>
      </c>
      <c r="I50" s="31" t="str">
        <f t="shared" si="18"/>
        <v>mEq</v>
      </c>
      <c r="J50" s="31" t="s">
        <v>1135</v>
      </c>
      <c r="L50" s="31" t="str">
        <f t="shared" si="13"/>
        <v>g</v>
      </c>
      <c r="P50" s="31" t="str">
        <f t="shared" si="14"/>
        <v>µg</v>
      </c>
      <c r="T50" s="31" t="str">
        <f t="shared" si="15"/>
        <v>mg</v>
      </c>
    </row>
    <row r="51" spans="4:20" s="31" customFormat="1">
      <c r="D51" s="31" t="str">
        <f t="shared" si="11"/>
        <v>kcal</v>
      </c>
      <c r="F51" s="31">
        <f t="shared" si="12"/>
        <v>24.31</v>
      </c>
      <c r="G51" s="31">
        <f t="shared" si="16"/>
        <v>0</v>
      </c>
      <c r="H51" s="31" t="str">
        <f t="shared" si="17"/>
        <v>mEq</v>
      </c>
      <c r="I51" s="31" t="str">
        <f t="shared" si="18"/>
        <v>mEq</v>
      </c>
      <c r="J51" s="31" t="s">
        <v>1135</v>
      </c>
      <c r="L51" s="31" t="str">
        <f t="shared" si="13"/>
        <v>g</v>
      </c>
      <c r="P51" s="31" t="str">
        <f t="shared" si="14"/>
        <v>mg</v>
      </c>
      <c r="T51" s="31" t="str">
        <f t="shared" si="15"/>
        <v>µg</v>
      </c>
    </row>
    <row r="52" spans="4:20" s="31" customFormat="1">
      <c r="D52" s="31" t="str">
        <f t="shared" si="11"/>
        <v>kcal</v>
      </c>
      <c r="F52" s="31">
        <f t="shared" si="12"/>
        <v>35.450000000000003</v>
      </c>
      <c r="G52" s="31">
        <f t="shared" si="16"/>
        <v>0</v>
      </c>
      <c r="H52" s="31" t="str">
        <f t="shared" si="17"/>
        <v>mEq</v>
      </c>
      <c r="I52" s="31" t="str">
        <f t="shared" si="18"/>
        <v>mEq</v>
      </c>
      <c r="J52" s="31" t="s">
        <v>1135</v>
      </c>
      <c r="L52" s="31" t="str">
        <f t="shared" si="13"/>
        <v>g</v>
      </c>
      <c r="P52" s="31" t="str">
        <f t="shared" si="14"/>
        <v>mg</v>
      </c>
      <c r="T52" s="31" t="str">
        <f t="shared" si="15"/>
        <v>µg</v>
      </c>
    </row>
    <row r="53" spans="4:20" s="31" customFormat="1">
      <c r="D53" s="31">
        <f t="shared" si="11"/>
        <v>0</v>
      </c>
      <c r="F53" s="31">
        <f t="shared" si="12"/>
        <v>96.07</v>
      </c>
      <c r="G53" s="31">
        <f t="shared" si="16"/>
        <v>0</v>
      </c>
      <c r="H53" s="31" t="str">
        <f t="shared" si="17"/>
        <v>mEq</v>
      </c>
      <c r="I53" s="31" t="str">
        <f t="shared" si="18"/>
        <v>mEq</v>
      </c>
      <c r="J53" s="31" t="s">
        <v>1135</v>
      </c>
      <c r="L53" s="31" t="str">
        <f t="shared" si="13"/>
        <v>g</v>
      </c>
      <c r="P53" s="31" t="str">
        <f t="shared" si="14"/>
        <v>µg</v>
      </c>
    </row>
    <row r="54" spans="4:20" s="31" customFormat="1">
      <c r="D54" s="31" t="str">
        <f t="shared" si="11"/>
        <v>kcal</v>
      </c>
      <c r="F54" s="31">
        <f t="shared" si="12"/>
        <v>61.016800000000003</v>
      </c>
      <c r="G54" s="31">
        <f t="shared" si="16"/>
        <v>0</v>
      </c>
      <c r="H54" s="31" t="str">
        <f t="shared" si="17"/>
        <v>mEq</v>
      </c>
      <c r="I54" s="31" t="str">
        <f t="shared" si="18"/>
        <v>mEq</v>
      </c>
      <c r="J54" s="31" t="s">
        <v>1135</v>
      </c>
      <c r="L54" s="31" t="str">
        <f t="shared" si="13"/>
        <v>g</v>
      </c>
      <c r="P54" s="31" t="str">
        <f t="shared" si="14"/>
        <v>µg</v>
      </c>
    </row>
    <row r="55" spans="4:20" s="31" customFormat="1">
      <c r="D55" s="31" t="str">
        <f t="shared" si="11"/>
        <v>kcal</v>
      </c>
      <c r="F55" s="31">
        <f t="shared" si="12"/>
        <v>90.08</v>
      </c>
      <c r="G55" s="31">
        <f t="shared" si="16"/>
        <v>0</v>
      </c>
      <c r="H55" s="31" t="str">
        <f t="shared" si="17"/>
        <v>mEq</v>
      </c>
      <c r="I55" s="31" t="str">
        <f t="shared" si="18"/>
        <v>mEq</v>
      </c>
      <c r="J55" s="31" t="s">
        <v>1135</v>
      </c>
      <c r="L55" s="31" t="str">
        <f t="shared" si="13"/>
        <v>g</v>
      </c>
      <c r="P55" s="31" t="str">
        <f t="shared" si="14"/>
        <v>mg</v>
      </c>
    </row>
    <row r="56" spans="4:20" s="31" customFormat="1">
      <c r="D56" s="31" t="str">
        <f t="shared" si="11"/>
        <v>kcal</v>
      </c>
      <c r="F56" s="31">
        <f t="shared" si="12"/>
        <v>118.09</v>
      </c>
      <c r="G56" s="31">
        <f t="shared" si="16"/>
        <v>0</v>
      </c>
      <c r="H56" s="31" t="str">
        <f t="shared" si="17"/>
        <v>mEq</v>
      </c>
      <c r="I56" s="31" t="str">
        <f t="shared" si="18"/>
        <v>mEq</v>
      </c>
      <c r="J56" s="31" t="s">
        <v>1135</v>
      </c>
      <c r="L56" s="31" t="str">
        <f t="shared" si="13"/>
        <v>g</v>
      </c>
      <c r="P56" s="31" t="str">
        <f t="shared" si="14"/>
        <v>IU</v>
      </c>
    </row>
    <row r="57" spans="4:20" s="31" customFormat="1">
      <c r="F57" s="31">
        <f t="shared" si="12"/>
        <v>60.05</v>
      </c>
      <c r="G57" s="31">
        <f t="shared" si="16"/>
        <v>0</v>
      </c>
      <c r="H57" s="31" t="str">
        <f t="shared" si="17"/>
        <v>mEq</v>
      </c>
      <c r="I57" s="31" t="str">
        <f t="shared" si="18"/>
        <v>mEq</v>
      </c>
      <c r="J57" s="31" t="s">
        <v>1135</v>
      </c>
      <c r="L57" s="31" t="str">
        <f t="shared" si="13"/>
        <v>g</v>
      </c>
      <c r="P57" s="31" t="str">
        <f t="shared" si="14"/>
        <v>µg</v>
      </c>
    </row>
    <row r="58" spans="4:20" s="31" customFormat="1">
      <c r="F58" s="31">
        <f t="shared" si="12"/>
        <v>196.16</v>
      </c>
      <c r="G58" s="31">
        <f t="shared" si="16"/>
        <v>0</v>
      </c>
      <c r="H58" s="31" t="str">
        <f t="shared" si="17"/>
        <v>mEq</v>
      </c>
      <c r="I58" s="31" t="str">
        <f t="shared" si="18"/>
        <v>mEq</v>
      </c>
      <c r="J58" s="31" t="s">
        <v>1135</v>
      </c>
      <c r="L58" s="31" t="str">
        <f t="shared" si="13"/>
        <v>g</v>
      </c>
      <c r="P58" s="31" t="str">
        <f t="shared" si="14"/>
        <v>mg</v>
      </c>
    </row>
    <row r="59" spans="4:20" s="31" customFormat="1">
      <c r="F59" s="31">
        <f t="shared" si="12"/>
        <v>192.124</v>
      </c>
      <c r="G59" s="31">
        <f t="shared" si="16"/>
        <v>0</v>
      </c>
      <c r="H59" s="31" t="str">
        <f t="shared" si="17"/>
        <v>mEq</v>
      </c>
      <c r="I59" s="31" t="str">
        <f t="shared" si="18"/>
        <v>mEq</v>
      </c>
      <c r="J59" s="31" t="s">
        <v>1135</v>
      </c>
      <c r="L59" s="31" t="str">
        <f t="shared" si="13"/>
        <v>g</v>
      </c>
      <c r="P59" s="31" t="str">
        <f t="shared" si="14"/>
        <v>mg</v>
      </c>
    </row>
    <row r="60" spans="4:20" s="31" customFormat="1">
      <c r="F60" s="31">
        <f t="shared" si="12"/>
        <v>30.97</v>
      </c>
      <c r="G60" s="31">
        <f t="shared" si="16"/>
        <v>0</v>
      </c>
      <c r="H60" s="31" t="str">
        <f t="shared" si="17"/>
        <v>mmol</v>
      </c>
      <c r="I60" s="31" t="str">
        <f t="shared" si="18"/>
        <v>mmol</v>
      </c>
      <c r="J60" s="31" t="s">
        <v>1135</v>
      </c>
      <c r="L60" s="31" t="str">
        <f t="shared" si="13"/>
        <v>g</v>
      </c>
    </row>
    <row r="61" spans="4:20" s="31" customFormat="1">
      <c r="L61" s="31" t="str">
        <f t="shared" si="13"/>
        <v>g</v>
      </c>
    </row>
    <row r="62" spans="4:20" s="31" customFormat="1">
      <c r="L62" s="31" t="str">
        <f t="shared" si="13"/>
        <v>g</v>
      </c>
    </row>
    <row r="63" spans="4:20" s="31" customFormat="1">
      <c r="L63" s="31" t="str">
        <f t="shared" si="13"/>
        <v>g</v>
      </c>
    </row>
    <row r="64" spans="4:20" s="31" customFormat="1">
      <c r="L64" s="31" t="str">
        <f t="shared" si="13"/>
        <v>g</v>
      </c>
    </row>
    <row r="65" spans="12:12" s="31" customFormat="1">
      <c r="L65" s="31" t="str">
        <f t="shared" si="13"/>
        <v>g</v>
      </c>
    </row>
    <row r="66" spans="12:12" s="31" customFormat="1">
      <c r="L66" s="31" t="str">
        <f t="shared" si="13"/>
        <v>g</v>
      </c>
    </row>
    <row r="67" spans="12:12" s="31" customFormat="1">
      <c r="L67" s="31">
        <f>INDEX(計算結果,2,MATCH(J20,計算シート成分名,0))</f>
        <v>0</v>
      </c>
    </row>
    <row r="68" spans="12:12" s="31" customFormat="1">
      <c r="L68" s="31" t="str">
        <f>INDEX(計算結果,2,MATCH(J21,計算シート成分名,0))</f>
        <v>g</v>
      </c>
    </row>
    <row r="69" spans="12:12" s="31" customFormat="1">
      <c r="L69" s="31" t="str">
        <f>INDEX(計算結果,2,MATCH(J22,計算シート成分名,0))</f>
        <v>%</v>
      </c>
    </row>
  </sheetData>
  <sheetProtection sheet="1" scenarios="1"/>
  <dataConsolidate/>
  <mergeCells count="27">
    <mergeCell ref="R19:T19"/>
    <mergeCell ref="B2:D2"/>
    <mergeCell ref="B16:C16"/>
    <mergeCell ref="F2:H2"/>
    <mergeCell ref="F16:G16"/>
    <mergeCell ref="F19:H19"/>
    <mergeCell ref="B19:D19"/>
    <mergeCell ref="F14:G14"/>
    <mergeCell ref="N12:P12"/>
    <mergeCell ref="N16:P16"/>
    <mergeCell ref="F15:G15"/>
    <mergeCell ref="B32:D32"/>
    <mergeCell ref="N2:P2"/>
    <mergeCell ref="N3:P3"/>
    <mergeCell ref="N4:P4"/>
    <mergeCell ref="N5:P5"/>
    <mergeCell ref="N6:P6"/>
    <mergeCell ref="N7:P7"/>
    <mergeCell ref="N8:P8"/>
    <mergeCell ref="N9:P9"/>
    <mergeCell ref="N10:P10"/>
    <mergeCell ref="N11:P11"/>
    <mergeCell ref="N13:P13"/>
    <mergeCell ref="N14:P14"/>
    <mergeCell ref="N15:P15"/>
    <mergeCell ref="J19:L19"/>
    <mergeCell ref="N19:P19"/>
  </mergeCells>
  <phoneticPr fontId="2"/>
  <conditionalFormatting sqref="A1:XFD1048576">
    <cfRule type="expression" dxfId="12" priority="26">
      <formula>AND(CELL("protect",A1),A1="")</formula>
    </cfRule>
  </conditionalFormatting>
  <conditionalFormatting sqref="B29:D29">
    <cfRule type="expression" dxfId="11" priority="2">
      <formula>$J$6="/kg"</formula>
    </cfRule>
  </conditionalFormatting>
  <conditionalFormatting sqref="B30:D30">
    <cfRule type="expression" dxfId="10" priority="3">
      <formula>$J$6=""</formula>
    </cfRule>
  </conditionalFormatting>
  <conditionalFormatting sqref="J3">
    <cfRule type="expression" dxfId="9" priority="12">
      <formula>$J$3="する"</formula>
    </cfRule>
  </conditionalFormatting>
  <conditionalFormatting sqref="J4">
    <cfRule type="expression" dxfId="8" priority="1">
      <formula>$J$6=""</formula>
    </cfRule>
    <cfRule type="cellIs" dxfId="7" priority="15" operator="greaterThanOrEqual">
      <formula>200</formula>
    </cfRule>
    <cfRule type="cellIs" dxfId="6" priority="16" operator="between">
      <formula>0</formula>
      <formula>200</formula>
    </cfRule>
  </conditionalFormatting>
  <dataValidations count="5">
    <dataValidation type="list" allowBlank="1" showInputMessage="1" showErrorMessage="1" sqref="B4:B15 F4:F13" xr:uid="{00000000-0002-0000-0000-000000000000}">
      <formula1>輸液種類リスト</formula1>
    </dataValidation>
    <dataValidation type="list" allowBlank="1" showInputMessage="1" showErrorMessage="1" sqref="F16:G16" xr:uid="{00000000-0002-0000-0000-000001000000}">
      <formula1>"浸透圧 (mEq/L),浸透圧 (生食比)"</formula1>
    </dataValidation>
    <dataValidation type="list" allowBlank="1" showInputMessage="1" showErrorMessage="1" sqref="J9" xr:uid="{00000000-0002-0000-0000-000002000000}">
      <formula1>"モル,グラム"</formula1>
    </dataValidation>
    <dataValidation type="decimal" errorStyle="warning" imeMode="off" operator="greaterThanOrEqual" allowBlank="1" showInputMessage="1" showErrorMessage="1" sqref="D4:D15" xr:uid="{00000000-0002-0000-0000-000003000000}">
      <formula1>0</formula1>
    </dataValidation>
    <dataValidation imeMode="off" allowBlank="1" showInputMessage="1" showErrorMessage="1" sqref="H4:H16 J4" xr:uid="{00000000-0002-0000-0000-000004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imeMode="on" allowBlank="1" showInputMessage="1" xr:uid="{00000000-0002-0000-0000-000005000000}">
          <x14:formula1>
            <xm:f>OFFSET(リスト!$B$4,,,COUNTIF(リスト!$B$4:$B$43,"&gt;*"),)</xm:f>
          </x14:formula1>
          <xm:sqref>C4:C15 G4:G13 N3:P16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M60"/>
  <sheetViews>
    <sheetView zoomScale="115" zoomScaleNormal="115" workbookViewId="0">
      <pane xSplit="1" ySplit="2" topLeftCell="B3" activePane="bottomRight" state="frozen"/>
      <selection pane="topRight" activeCell="B1" sqref="B1"/>
      <selection pane="bottomLeft" activeCell="A3" sqref="A3"/>
      <selection pane="bottomRight"/>
    </sheetView>
  </sheetViews>
  <sheetFormatPr defaultColWidth="4.625" defaultRowHeight="13.5"/>
  <cols>
    <col min="2" max="2" width="10.625" customWidth="1"/>
    <col min="3" max="91" width="2.75" customWidth="1"/>
  </cols>
  <sheetData>
    <row r="1" spans="1:91">
      <c r="B1" s="18" t="str">
        <f>輸液一覧表!B1</f>
        <v>製品名</v>
      </c>
      <c r="C1" s="18" t="str">
        <f>輸液一覧表!C1</f>
        <v>会社名</v>
      </c>
      <c r="D1" s="18" t="str">
        <f>輸液一覧表!D1</f>
        <v>一単位</v>
      </c>
      <c r="E1" s="18" t="str">
        <f>輸液一覧表!E1</f>
        <v>液量</v>
      </c>
      <c r="F1" s="18" t="str">
        <f>輸液一覧表!F1</f>
        <v>Na</v>
      </c>
      <c r="G1" s="18" t="str">
        <f>輸液一覧表!G1</f>
        <v>K</v>
      </c>
      <c r="H1" s="18" t="str">
        <f>輸液一覧表!H1</f>
        <v>Ca</v>
      </c>
      <c r="I1" s="18" t="str">
        <f>輸液一覧表!I1</f>
        <v>Mg</v>
      </c>
      <c r="J1" s="18" t="str">
        <f>輸液一覧表!J1</f>
        <v>Cl</v>
      </c>
      <c r="K1" s="18" t="str">
        <f>輸液一覧表!K1</f>
        <v>SO4</v>
      </c>
      <c r="L1" s="18" t="str">
        <f>輸液一覧表!L1</f>
        <v>HCO3</v>
      </c>
      <c r="M1" s="18" t="str">
        <f>輸液一覧表!M1</f>
        <v>Lactate</v>
      </c>
      <c r="N1" s="18" t="str">
        <f>輸液一覧表!N1</f>
        <v>Succinate</v>
      </c>
      <c r="O1" s="18" t="str">
        <f>輸液一覧表!O1</f>
        <v>Acetate</v>
      </c>
      <c r="P1" s="18" t="str">
        <f>輸液一覧表!P1</f>
        <v>Gluconate</v>
      </c>
      <c r="Q1" s="18" t="str">
        <f>輸液一覧表!Q1</f>
        <v>Citrate</v>
      </c>
      <c r="R1" s="18" t="str">
        <f>輸液一覧表!R1</f>
        <v>NH4</v>
      </c>
      <c r="S1" s="18" t="str">
        <f>輸液一覧表!S1</f>
        <v>P</v>
      </c>
      <c r="T1" s="18" t="str">
        <f>輸液一覧表!T1</f>
        <v>Zn</v>
      </c>
      <c r="U1" s="18">
        <f>輸液一覧表!U1</f>
        <v>0</v>
      </c>
      <c r="V1" s="18" t="str">
        <f>輸液一覧表!V1</f>
        <v>糖質種類</v>
      </c>
      <c r="W1" s="18" t="str">
        <f>輸液一覧表!W1</f>
        <v>Glu</v>
      </c>
      <c r="X1" s="18" t="str">
        <f>輸液一覧表!X1</f>
        <v>Mal</v>
      </c>
      <c r="Y1" s="18" t="str">
        <f>輸液一覧表!Y1</f>
        <v>Xyl</v>
      </c>
      <c r="Z1" s="18" t="str">
        <f>輸液一覧表!Z1</f>
        <v>Sor</v>
      </c>
      <c r="AA1" s="18" t="str">
        <f>輸液一覧表!AA1</f>
        <v>fru</v>
      </c>
      <c r="AB1" s="18" t="str">
        <f>輸液一覧表!AB1</f>
        <v>糖質</v>
      </c>
      <c r="AC1" s="18" t="str">
        <f>輸液一覧表!AC1</f>
        <v>脂質</v>
      </c>
      <c r="AD1" s="18" t="str">
        <f>輸液一覧表!AD1</f>
        <v>脂肪濃度</v>
      </c>
      <c r="AE1" s="18" t="str">
        <f>輸液一覧表!AE1</f>
        <v>総遊離アミノ酸量</v>
      </c>
      <c r="AF1" s="18" t="str">
        <f>輸液一覧表!AF1</f>
        <v>糖質熱量</v>
      </c>
      <c r="AG1" s="18" t="str">
        <f>輸液一覧表!AG1</f>
        <v>脂質熱量</v>
      </c>
      <c r="AH1" s="18" t="str">
        <f>輸液一覧表!AH1</f>
        <v>アミノ酸熱量</v>
      </c>
      <c r="AI1" s="18" t="str">
        <f>輸液一覧表!AI1</f>
        <v>総熱量</v>
      </c>
      <c r="AJ1" s="18" t="str">
        <f>輸液一覧表!AJ1</f>
        <v>非蛋白熱量(NPC)</v>
      </c>
      <c r="AK1" s="18" t="str">
        <f>輸液一覧表!AK1</f>
        <v>NPC/N比</v>
      </c>
      <c r="AL1" s="18">
        <f>輸液一覧表!AL1</f>
        <v>0</v>
      </c>
      <c r="AM1" s="18" t="str">
        <f>輸液一覧表!AM1</f>
        <v>ロイシン</v>
      </c>
      <c r="AN1" s="18" t="str">
        <f>輸液一覧表!AN1</f>
        <v>イソロイシン</v>
      </c>
      <c r="AO1" s="18" t="str">
        <f>輸液一覧表!AO1</f>
        <v>バリン</v>
      </c>
      <c r="AP1" s="18" t="str">
        <f>輸液一覧表!AP1</f>
        <v>リシン</v>
      </c>
      <c r="AQ1" s="18" t="str">
        <f>輸液一覧表!AQ1</f>
        <v>トレオニン</v>
      </c>
      <c r="AR1" s="18" t="str">
        <f>輸液一覧表!AR1</f>
        <v>トリプトファン</v>
      </c>
      <c r="AS1" s="18" t="str">
        <f>輸液一覧表!AS1</f>
        <v>メチオニン</v>
      </c>
      <c r="AT1" s="18" t="str">
        <f>輸液一覧表!AT1</f>
        <v>フェニルアラニン</v>
      </c>
      <c r="AU1" s="18" t="str">
        <f>輸液一覧表!AU1</f>
        <v>システイン</v>
      </c>
      <c r="AV1" s="18" t="str">
        <f>輸液一覧表!AV1</f>
        <v>シスチン</v>
      </c>
      <c r="AW1" s="18" t="str">
        <f>輸液一覧表!AW1</f>
        <v>チロシン</v>
      </c>
      <c r="AX1" s="18" t="str">
        <f>輸液一覧表!AX1</f>
        <v>ヒスチジン</v>
      </c>
      <c r="AY1" s="18" t="str">
        <f>輸液一覧表!AY1</f>
        <v>アルギニン</v>
      </c>
      <c r="AZ1" s="18" t="str">
        <f>輸液一覧表!AZ1</f>
        <v>アラニン</v>
      </c>
      <c r="BA1" s="18" t="str">
        <f>輸液一覧表!BA1</f>
        <v>プロリン</v>
      </c>
      <c r="BB1" s="18" t="str">
        <f>輸液一覧表!BB1</f>
        <v>セリン</v>
      </c>
      <c r="BC1" s="18" t="str">
        <f>輸液一覧表!BC1</f>
        <v>グリシン</v>
      </c>
      <c r="BD1" s="18" t="str">
        <f>輸液一覧表!BD1</f>
        <v>アスパラギン酸</v>
      </c>
      <c r="BE1" s="18" t="str">
        <f>輸液一覧表!BE1</f>
        <v>グルタミン酸</v>
      </c>
      <c r="BF1" s="18" t="str">
        <f>輸液一覧表!BF1</f>
        <v>タウリン</v>
      </c>
      <c r="BG1" s="18" t="str">
        <f>輸液一覧表!BG1</f>
        <v>E/N比</v>
      </c>
      <c r="BH1" s="18" t="str">
        <f>輸液一覧表!BH1</f>
        <v>総窒素含有量</v>
      </c>
      <c r="BI1" s="18" t="str">
        <f>輸液一覧表!BI1</f>
        <v>分岐鎖アミノ酸 含有率</v>
      </c>
      <c r="BJ1" s="18">
        <f>輸液一覧表!BJ1</f>
        <v>0</v>
      </c>
      <c r="BK1" s="18">
        <f>輸液一覧表!BK1</f>
        <v>0</v>
      </c>
      <c r="BL1" s="18" t="str">
        <f>輸液一覧表!BL1</f>
        <v>ビタミンB1</v>
      </c>
      <c r="BM1" s="18" t="str">
        <f>輸液一覧表!BM1</f>
        <v>ビタミンB2</v>
      </c>
      <c r="BN1" s="18" t="str">
        <f>輸液一覧表!BN1</f>
        <v>ビタミンB6</v>
      </c>
      <c r="BO1" s="18" t="str">
        <f>輸液一覧表!BO1</f>
        <v>ビタミンB12</v>
      </c>
      <c r="BP1" s="18" t="str">
        <f>輸液一覧表!BP1</f>
        <v>ナイアシン</v>
      </c>
      <c r="BQ1" s="18" t="str">
        <f>輸液一覧表!BQ1</f>
        <v>パントテン酸</v>
      </c>
      <c r="BR1" s="18" t="str">
        <f>輸液一覧表!BR1</f>
        <v>葉酸</v>
      </c>
      <c r="BS1" s="18" t="str">
        <f>輸液一覧表!BS1</f>
        <v>ビオチン</v>
      </c>
      <c r="BT1" s="18" t="str">
        <f>輸液一覧表!BT1</f>
        <v>ビタミンC</v>
      </c>
      <c r="BU1" s="18" t="str">
        <f>輸液一覧表!BU1</f>
        <v>ビタミンA</v>
      </c>
      <c r="BV1" s="18" t="str">
        <f>輸液一覧表!BV1</f>
        <v>ビタミンD</v>
      </c>
      <c r="BW1" s="18" t="str">
        <f>輸液一覧表!BW1</f>
        <v>ビタミンE</v>
      </c>
      <c r="BX1" s="18" t="str">
        <f>輸液一覧表!BX1</f>
        <v>ビタミンK</v>
      </c>
      <c r="BY1" s="18">
        <f>輸液一覧表!BY1</f>
        <v>0</v>
      </c>
      <c r="BZ1" s="18" t="str">
        <f>輸液一覧表!BZ1</f>
        <v>Fe</v>
      </c>
      <c r="CA1" s="18" t="str">
        <f>輸液一覧表!CA1</f>
        <v>Mn</v>
      </c>
      <c r="CB1" s="18" t="str">
        <f>輸液一覧表!CB1</f>
        <v>Cu</v>
      </c>
      <c r="CC1" s="18" t="str">
        <f>輸液一覧表!CC1</f>
        <v>I</v>
      </c>
      <c r="CD1" s="18" t="str">
        <f>輸液一覧表!CD1</f>
        <v>Se</v>
      </c>
      <c r="CE1" s="18">
        <f>輸液一覧表!CE1</f>
        <v>0</v>
      </c>
      <c r="CF1" s="18" t="str">
        <f>輸液一覧表!CF1</f>
        <v>デキストラン</v>
      </c>
      <c r="CG1" s="18" t="str">
        <f>輸液一覧表!CG1</f>
        <v>ヒドロキシエチルデンプン</v>
      </c>
      <c r="CH1" s="18" t="str">
        <f>輸液一覧表!CH1</f>
        <v>pH</v>
      </c>
      <c r="CI1" s="18" t="str">
        <f>輸液一覧表!CI1</f>
        <v>浸透圧比*</v>
      </c>
      <c r="CJ1" s="18" t="str">
        <f>輸液一覧表!CJ1</f>
        <v>浸透圧</v>
      </c>
      <c r="CK1" s="18" t="str">
        <f>輸液一覧表!CK1</f>
        <v>添付文書浸透圧物質</v>
      </c>
      <c r="CL1" s="18" t="str">
        <f>輸液一覧表!CL1</f>
        <v>計算浸透圧物質</v>
      </c>
      <c r="CM1" s="18" t="str">
        <f>輸液一覧表!CM1</f>
        <v>備考</v>
      </c>
    </row>
    <row r="2" spans="1:91">
      <c r="B2" s="18" t="str">
        <f>輸液一覧表!B2</f>
        <v>単位</v>
      </c>
      <c r="C2" s="18">
        <f>輸液一覧表!C2</f>
        <v>0</v>
      </c>
      <c r="D2" s="18">
        <f>輸液一覧表!D2</f>
        <v>0</v>
      </c>
      <c r="E2" s="18" t="str">
        <f>輸液一覧表!E2</f>
        <v>ml</v>
      </c>
      <c r="F2" s="18" t="str">
        <f>輸液一覧表!F2</f>
        <v>mEq</v>
      </c>
      <c r="G2" s="18" t="str">
        <f>輸液一覧表!G2</f>
        <v>mEq</v>
      </c>
      <c r="H2" s="18" t="str">
        <f>輸液一覧表!H2</f>
        <v>mEq</v>
      </c>
      <c r="I2" s="18" t="str">
        <f>輸液一覧表!I2</f>
        <v>mEq</v>
      </c>
      <c r="J2" s="18" t="str">
        <f>輸液一覧表!J2</f>
        <v>mEq</v>
      </c>
      <c r="K2" s="18" t="str">
        <f>輸液一覧表!K2</f>
        <v>mEq</v>
      </c>
      <c r="L2" s="18" t="str">
        <f>輸液一覧表!L2</f>
        <v>mEq</v>
      </c>
      <c r="M2" s="18" t="str">
        <f>輸液一覧表!M2</f>
        <v>mEq</v>
      </c>
      <c r="N2" s="18" t="str">
        <f>輸液一覧表!N2</f>
        <v>mEq</v>
      </c>
      <c r="O2" s="18" t="str">
        <f>輸液一覧表!O2</f>
        <v>mEq</v>
      </c>
      <c r="P2" s="18" t="str">
        <f>輸液一覧表!P2</f>
        <v>mEq</v>
      </c>
      <c r="Q2" s="18" t="str">
        <f>輸液一覧表!Q2</f>
        <v>mEq</v>
      </c>
      <c r="R2" s="18" t="str">
        <f>輸液一覧表!R2</f>
        <v>mEq</v>
      </c>
      <c r="S2" s="18" t="str">
        <f>輸液一覧表!S2</f>
        <v>mmol</v>
      </c>
      <c r="T2" s="18" t="str">
        <f>輸液一覧表!T2</f>
        <v>mg</v>
      </c>
      <c r="U2" s="18">
        <f>輸液一覧表!U2</f>
        <v>0</v>
      </c>
      <c r="V2" s="18">
        <f>輸液一覧表!V2</f>
        <v>0</v>
      </c>
      <c r="W2" s="18" t="str">
        <f>輸液一覧表!W2</f>
        <v>g</v>
      </c>
      <c r="X2" s="18" t="str">
        <f>輸液一覧表!X2</f>
        <v>g</v>
      </c>
      <c r="Y2" s="18" t="str">
        <f>輸液一覧表!Y2</f>
        <v>g</v>
      </c>
      <c r="Z2" s="18" t="str">
        <f>輸液一覧表!Z2</f>
        <v>g</v>
      </c>
      <c r="AA2" s="18" t="str">
        <f>輸液一覧表!AA2</f>
        <v>g</v>
      </c>
      <c r="AB2" s="18" t="str">
        <f>輸液一覧表!AB2</f>
        <v>g</v>
      </c>
      <c r="AC2" s="18" t="str">
        <f>輸液一覧表!AC2</f>
        <v>g</v>
      </c>
      <c r="AD2" s="18">
        <f>輸液一覧表!AD2</f>
        <v>0</v>
      </c>
      <c r="AE2" s="18" t="str">
        <f>輸液一覧表!AE2</f>
        <v>g</v>
      </c>
      <c r="AF2" s="18" t="str">
        <f>輸液一覧表!AF2</f>
        <v>kcal</v>
      </c>
      <c r="AG2" s="18" t="str">
        <f>輸液一覧表!AG2</f>
        <v>kcal</v>
      </c>
      <c r="AH2" s="18" t="str">
        <f>輸液一覧表!AH2</f>
        <v>kcal</v>
      </c>
      <c r="AI2" s="18" t="str">
        <f>輸液一覧表!AI2</f>
        <v>kcal</v>
      </c>
      <c r="AJ2" s="18" t="str">
        <f>輸液一覧表!AJ2</f>
        <v>kcal</v>
      </c>
      <c r="AK2" s="18">
        <f>輸液一覧表!AK2</f>
        <v>0</v>
      </c>
      <c r="AL2" s="18">
        <f>輸液一覧表!AL2</f>
        <v>0</v>
      </c>
      <c r="AM2" s="18" t="str">
        <f>輸液一覧表!AM2</f>
        <v>g</v>
      </c>
      <c r="AN2" s="18" t="str">
        <f>輸液一覧表!AN2</f>
        <v>g</v>
      </c>
      <c r="AO2" s="18" t="str">
        <f>輸液一覧表!AO2</f>
        <v>g</v>
      </c>
      <c r="AP2" s="18" t="str">
        <f>輸液一覧表!AP2</f>
        <v>g</v>
      </c>
      <c r="AQ2" s="18" t="str">
        <f>輸液一覧表!AQ2</f>
        <v>g</v>
      </c>
      <c r="AR2" s="18" t="str">
        <f>輸液一覧表!AR2</f>
        <v>g</v>
      </c>
      <c r="AS2" s="18" t="str">
        <f>輸液一覧表!AS2</f>
        <v>g</v>
      </c>
      <c r="AT2" s="18" t="str">
        <f>輸液一覧表!AT2</f>
        <v>g</v>
      </c>
      <c r="AU2" s="18" t="str">
        <f>輸液一覧表!AU2</f>
        <v>g</v>
      </c>
      <c r="AV2" s="18" t="str">
        <f>輸液一覧表!AV2</f>
        <v>g</v>
      </c>
      <c r="AW2" s="18" t="str">
        <f>輸液一覧表!AW2</f>
        <v>g</v>
      </c>
      <c r="AX2" s="18" t="str">
        <f>輸液一覧表!AX2</f>
        <v>g</v>
      </c>
      <c r="AY2" s="18" t="str">
        <f>輸液一覧表!AY2</f>
        <v>g</v>
      </c>
      <c r="AZ2" s="18" t="str">
        <f>輸液一覧表!AZ2</f>
        <v>g</v>
      </c>
      <c r="BA2" s="18" t="str">
        <f>輸液一覧表!BA2</f>
        <v>g</v>
      </c>
      <c r="BB2" s="18" t="str">
        <f>輸液一覧表!BB2</f>
        <v>g</v>
      </c>
      <c r="BC2" s="18" t="str">
        <f>輸液一覧表!BC2</f>
        <v>g</v>
      </c>
      <c r="BD2" s="18" t="str">
        <f>輸液一覧表!BD2</f>
        <v>g</v>
      </c>
      <c r="BE2" s="18" t="str">
        <f>輸液一覧表!BE2</f>
        <v>g</v>
      </c>
      <c r="BF2" s="18" t="str">
        <f>輸液一覧表!BF2</f>
        <v>g</v>
      </c>
      <c r="BG2" s="18">
        <f>輸液一覧表!BG2</f>
        <v>0</v>
      </c>
      <c r="BH2" s="18" t="str">
        <f>輸液一覧表!BH2</f>
        <v>g</v>
      </c>
      <c r="BI2" s="18" t="str">
        <f>輸液一覧表!BI2</f>
        <v>%</v>
      </c>
      <c r="BJ2" s="18">
        <f>輸液一覧表!BJ2</f>
        <v>0</v>
      </c>
      <c r="BK2" s="18">
        <f>輸液一覧表!BK2</f>
        <v>0</v>
      </c>
      <c r="BL2" s="18" t="str">
        <f>輸液一覧表!BL2</f>
        <v>mg</v>
      </c>
      <c r="BM2" s="18" t="str">
        <f>輸液一覧表!BM2</f>
        <v>mg</v>
      </c>
      <c r="BN2" s="18" t="str">
        <f>輸液一覧表!BN2</f>
        <v>mg</v>
      </c>
      <c r="BO2" s="18" t="str">
        <f>輸液一覧表!BO2</f>
        <v>µg</v>
      </c>
      <c r="BP2" s="18" t="str">
        <f>輸液一覧表!BP2</f>
        <v>mg</v>
      </c>
      <c r="BQ2" s="18" t="str">
        <f>輸液一覧表!BQ2</f>
        <v>mg</v>
      </c>
      <c r="BR2" s="18" t="str">
        <f>輸液一覧表!BR2</f>
        <v>µg</v>
      </c>
      <c r="BS2" s="18" t="str">
        <f>輸液一覧表!BS2</f>
        <v>µg</v>
      </c>
      <c r="BT2" s="18" t="str">
        <f>輸液一覧表!BT2</f>
        <v>mg</v>
      </c>
      <c r="BU2" s="18" t="str">
        <f>輸液一覧表!BU2</f>
        <v>IU</v>
      </c>
      <c r="BV2" s="18" t="str">
        <f>輸液一覧表!BV2</f>
        <v>µg</v>
      </c>
      <c r="BW2" s="18" t="str">
        <f>輸液一覧表!BW2</f>
        <v>mg</v>
      </c>
      <c r="BX2" s="18" t="str">
        <f>輸液一覧表!BX2</f>
        <v>mg</v>
      </c>
      <c r="BY2" s="18">
        <f>輸液一覧表!BY2</f>
        <v>0</v>
      </c>
      <c r="BZ2" s="18" t="str">
        <f>輸液一覧表!BZ2</f>
        <v>mg</v>
      </c>
      <c r="CA2" s="18" t="str">
        <f>輸液一覧表!CA2</f>
        <v>mg</v>
      </c>
      <c r="CB2" s="18" t="str">
        <f>輸液一覧表!CB2</f>
        <v>mg</v>
      </c>
      <c r="CC2" s="18" t="str">
        <f>輸液一覧表!CC2</f>
        <v>µg</v>
      </c>
      <c r="CD2" s="18" t="str">
        <f>輸液一覧表!CD2</f>
        <v>µg</v>
      </c>
      <c r="CE2" s="18">
        <f>輸液一覧表!CE2</f>
        <v>0</v>
      </c>
      <c r="CF2" s="18" t="str">
        <f>輸液一覧表!CF2</f>
        <v>g</v>
      </c>
      <c r="CG2" s="18" t="str">
        <f>輸液一覧表!CG2</f>
        <v>g</v>
      </c>
      <c r="CH2" s="18">
        <f>輸液一覧表!CH2</f>
        <v>0</v>
      </c>
      <c r="CI2" s="18">
        <f>輸液一覧表!CI2</f>
        <v>0</v>
      </c>
      <c r="CJ2" s="18" t="str">
        <f>輸液一覧表!CJ2</f>
        <v>mOsm/L</v>
      </c>
      <c r="CK2" s="18" t="str">
        <f>輸液一覧表!CK2</f>
        <v>mOsm</v>
      </c>
      <c r="CL2" s="18" t="str">
        <f>輸液一覧表!CL2</f>
        <v>mOsm</v>
      </c>
      <c r="CM2" s="18">
        <f>輸液一覧表!CM2</f>
        <v>0</v>
      </c>
    </row>
    <row r="3" spans="1:91">
      <c r="B3" s="18"/>
      <c r="C3" s="18"/>
      <c r="D3" s="18"/>
      <c r="E3" s="18"/>
      <c r="F3" s="18">
        <f>輸液一覧表!F3</f>
        <v>22.99</v>
      </c>
      <c r="G3" s="18">
        <f>輸液一覧表!G3</f>
        <v>39.1</v>
      </c>
      <c r="H3" s="18">
        <f>輸液一覧表!H3</f>
        <v>40.08</v>
      </c>
      <c r="I3" s="18">
        <f>輸液一覧表!I3</f>
        <v>24.31</v>
      </c>
      <c r="J3" s="18">
        <f>輸液一覧表!J3</f>
        <v>35.450000000000003</v>
      </c>
      <c r="K3" s="18">
        <f>輸液一覧表!K3</f>
        <v>96.07</v>
      </c>
      <c r="L3" s="18">
        <f>輸液一覧表!L3</f>
        <v>61.016800000000003</v>
      </c>
      <c r="M3" s="18">
        <f>輸液一覧表!M3</f>
        <v>90.08</v>
      </c>
      <c r="N3" s="18">
        <f>輸液一覧表!N3</f>
        <v>118.09</v>
      </c>
      <c r="O3" s="18">
        <f>輸液一覧表!O3</f>
        <v>60.05</v>
      </c>
      <c r="P3" s="18">
        <f>輸液一覧表!P3</f>
        <v>196.16</v>
      </c>
      <c r="Q3" s="18">
        <f>輸液一覧表!Q3</f>
        <v>192.124</v>
      </c>
      <c r="R3" s="18">
        <f>輸液一覧表!R3</f>
        <v>18.03</v>
      </c>
      <c r="S3" s="18">
        <f>輸液一覧表!S3</f>
        <v>30.97</v>
      </c>
      <c r="T3" s="18">
        <f>輸液一覧表!T3</f>
        <v>65.39</v>
      </c>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row>
    <row r="4" spans="1:91">
      <c r="A4" t="s">
        <v>337</v>
      </c>
      <c r="B4" s="6">
        <f>入力欄!C4</f>
        <v>0</v>
      </c>
      <c r="C4" t="e">
        <f t="shared" ref="C4:L14" si="0">INDEX(輸液一覧,MATCH($B4,輸液一覧製品名,0),MATCH(C$1,輸液一覧成分名,0))</f>
        <v>#N/A</v>
      </c>
      <c r="D4" t="e">
        <f t="shared" si="0"/>
        <v>#N/A</v>
      </c>
      <c r="E4" t="e">
        <f t="shared" si="0"/>
        <v>#N/A</v>
      </c>
      <c r="F4" t="e">
        <f t="shared" si="0"/>
        <v>#N/A</v>
      </c>
      <c r="G4" t="e">
        <f t="shared" si="0"/>
        <v>#N/A</v>
      </c>
      <c r="H4" t="e">
        <f t="shared" si="0"/>
        <v>#N/A</v>
      </c>
      <c r="I4" t="e">
        <f t="shared" si="0"/>
        <v>#N/A</v>
      </c>
      <c r="J4" t="e">
        <f t="shared" si="0"/>
        <v>#N/A</v>
      </c>
      <c r="K4" t="e">
        <f t="shared" si="0"/>
        <v>#N/A</v>
      </c>
      <c r="L4" t="e">
        <f t="shared" si="0"/>
        <v>#N/A</v>
      </c>
      <c r="M4" t="e">
        <f t="shared" ref="M4:V14" si="1">INDEX(輸液一覧,MATCH($B4,輸液一覧製品名,0),MATCH(M$1,輸液一覧成分名,0))</f>
        <v>#N/A</v>
      </c>
      <c r="N4" t="e">
        <f t="shared" si="1"/>
        <v>#N/A</v>
      </c>
      <c r="O4" t="e">
        <f t="shared" si="1"/>
        <v>#N/A</v>
      </c>
      <c r="P4" t="e">
        <f t="shared" si="1"/>
        <v>#N/A</v>
      </c>
      <c r="Q4" t="e">
        <f t="shared" si="1"/>
        <v>#N/A</v>
      </c>
      <c r="R4" t="e">
        <f t="shared" si="1"/>
        <v>#N/A</v>
      </c>
      <c r="S4" t="e">
        <f t="shared" si="1"/>
        <v>#N/A</v>
      </c>
      <c r="T4" t="e">
        <f t="shared" si="1"/>
        <v>#N/A</v>
      </c>
      <c r="U4" t="e">
        <f t="shared" si="1"/>
        <v>#N/A</v>
      </c>
      <c r="V4" t="e">
        <f t="shared" si="1"/>
        <v>#N/A</v>
      </c>
      <c r="W4" t="e">
        <f t="shared" ref="W4:AF14" si="2">INDEX(輸液一覧,MATCH($B4,輸液一覧製品名,0),MATCH(W$1,輸液一覧成分名,0))</f>
        <v>#N/A</v>
      </c>
      <c r="X4" t="e">
        <f t="shared" si="2"/>
        <v>#N/A</v>
      </c>
      <c r="Y4" t="e">
        <f t="shared" si="2"/>
        <v>#N/A</v>
      </c>
      <c r="Z4" t="e">
        <f t="shared" si="2"/>
        <v>#N/A</v>
      </c>
      <c r="AA4" t="e">
        <f t="shared" si="2"/>
        <v>#N/A</v>
      </c>
      <c r="AB4" t="e">
        <f t="shared" si="2"/>
        <v>#N/A</v>
      </c>
      <c r="AC4" t="e">
        <f t="shared" si="2"/>
        <v>#N/A</v>
      </c>
      <c r="AD4" t="e">
        <f t="shared" si="2"/>
        <v>#N/A</v>
      </c>
      <c r="AE4" t="e">
        <f>INDEX(輸液一覧,MATCH($B4,輸液一覧製品名,0),MATCH(AE$1,輸液一覧成分名,0))</f>
        <v>#N/A</v>
      </c>
      <c r="AF4" t="e">
        <f t="shared" si="2"/>
        <v>#N/A</v>
      </c>
      <c r="AG4" t="e">
        <f t="shared" ref="AG4:AP14" si="3">INDEX(輸液一覧,MATCH($B4,輸液一覧製品名,0),MATCH(AG$1,輸液一覧成分名,0))</f>
        <v>#N/A</v>
      </c>
      <c r="AH4" t="e">
        <f t="shared" si="3"/>
        <v>#N/A</v>
      </c>
      <c r="AI4" t="e">
        <f t="shared" si="3"/>
        <v>#N/A</v>
      </c>
      <c r="AJ4" t="e">
        <f t="shared" si="3"/>
        <v>#N/A</v>
      </c>
      <c r="AK4" t="e">
        <f t="shared" si="3"/>
        <v>#N/A</v>
      </c>
      <c r="AL4" t="e">
        <f t="shared" si="3"/>
        <v>#N/A</v>
      </c>
      <c r="AM4" t="e">
        <f t="shared" si="3"/>
        <v>#N/A</v>
      </c>
      <c r="AN4" t="e">
        <f t="shared" si="3"/>
        <v>#N/A</v>
      </c>
      <c r="AO4" t="e">
        <f t="shared" si="3"/>
        <v>#N/A</v>
      </c>
      <c r="AP4" t="e">
        <f t="shared" si="3"/>
        <v>#N/A</v>
      </c>
      <c r="AQ4" t="e">
        <f t="shared" ref="AQ4:AZ14" si="4">INDEX(輸液一覧,MATCH($B4,輸液一覧製品名,0),MATCH(AQ$1,輸液一覧成分名,0))</f>
        <v>#N/A</v>
      </c>
      <c r="AR4" t="e">
        <f t="shared" si="4"/>
        <v>#N/A</v>
      </c>
      <c r="AS4" t="e">
        <f t="shared" si="4"/>
        <v>#N/A</v>
      </c>
      <c r="AT4" t="e">
        <f t="shared" si="4"/>
        <v>#N/A</v>
      </c>
      <c r="AU4" t="e">
        <f t="shared" si="4"/>
        <v>#N/A</v>
      </c>
      <c r="AV4" t="e">
        <f t="shared" si="4"/>
        <v>#N/A</v>
      </c>
      <c r="AW4" t="e">
        <f t="shared" si="4"/>
        <v>#N/A</v>
      </c>
      <c r="AX4" t="e">
        <f t="shared" si="4"/>
        <v>#N/A</v>
      </c>
      <c r="AY4" t="e">
        <f t="shared" si="4"/>
        <v>#N/A</v>
      </c>
      <c r="AZ4" t="e">
        <f t="shared" si="4"/>
        <v>#N/A</v>
      </c>
      <c r="BA4" t="e">
        <f t="shared" ref="BA4:BJ14" si="5">INDEX(輸液一覧,MATCH($B4,輸液一覧製品名,0),MATCH(BA$1,輸液一覧成分名,0))</f>
        <v>#N/A</v>
      </c>
      <c r="BB4" t="e">
        <f t="shared" si="5"/>
        <v>#N/A</v>
      </c>
      <c r="BC4" t="e">
        <f t="shared" si="5"/>
        <v>#N/A</v>
      </c>
      <c r="BD4" t="e">
        <f t="shared" si="5"/>
        <v>#N/A</v>
      </c>
      <c r="BE4" t="e">
        <f t="shared" si="5"/>
        <v>#N/A</v>
      </c>
      <c r="BF4" t="e">
        <f t="shared" si="5"/>
        <v>#N/A</v>
      </c>
      <c r="BG4" t="e">
        <f t="shared" si="5"/>
        <v>#N/A</v>
      </c>
      <c r="BH4" t="e">
        <f t="shared" si="5"/>
        <v>#N/A</v>
      </c>
      <c r="BI4" t="e">
        <f t="shared" si="5"/>
        <v>#N/A</v>
      </c>
      <c r="BJ4" t="e">
        <f t="shared" si="5"/>
        <v>#N/A</v>
      </c>
      <c r="BK4" t="e">
        <f t="shared" ref="BK4:BT14" si="6">INDEX(輸液一覧,MATCH($B4,輸液一覧製品名,0),MATCH(BK$1,輸液一覧成分名,0))</f>
        <v>#N/A</v>
      </c>
      <c r="BL4" t="e">
        <f t="shared" si="6"/>
        <v>#N/A</v>
      </c>
      <c r="BM4" t="e">
        <f t="shared" si="6"/>
        <v>#N/A</v>
      </c>
      <c r="BN4" t="e">
        <f t="shared" si="6"/>
        <v>#N/A</v>
      </c>
      <c r="BO4" t="e">
        <f t="shared" si="6"/>
        <v>#N/A</v>
      </c>
      <c r="BP4" t="e">
        <f t="shared" si="6"/>
        <v>#N/A</v>
      </c>
      <c r="BQ4" t="e">
        <f t="shared" si="6"/>
        <v>#N/A</v>
      </c>
      <c r="BR4" t="e">
        <f t="shared" si="6"/>
        <v>#N/A</v>
      </c>
      <c r="BS4" t="e">
        <f t="shared" si="6"/>
        <v>#N/A</v>
      </c>
      <c r="BT4" t="e">
        <f t="shared" si="6"/>
        <v>#N/A</v>
      </c>
      <c r="BU4" t="e">
        <f t="shared" ref="BU4:CJ14" si="7">INDEX(輸液一覧,MATCH($B4,輸液一覧製品名,0),MATCH(BU$1,輸液一覧成分名,0))</f>
        <v>#N/A</v>
      </c>
      <c r="BV4" t="e">
        <f t="shared" si="7"/>
        <v>#N/A</v>
      </c>
      <c r="BW4" t="e">
        <f t="shared" si="7"/>
        <v>#N/A</v>
      </c>
      <c r="BX4" t="e">
        <f t="shared" si="7"/>
        <v>#N/A</v>
      </c>
      <c r="BY4" t="e">
        <f t="shared" si="7"/>
        <v>#N/A</v>
      </c>
      <c r="BZ4" t="e">
        <f t="shared" si="7"/>
        <v>#N/A</v>
      </c>
      <c r="CA4" t="e">
        <f t="shared" si="7"/>
        <v>#N/A</v>
      </c>
      <c r="CB4" t="e">
        <f t="shared" si="7"/>
        <v>#N/A</v>
      </c>
      <c r="CC4" t="e">
        <f t="shared" si="7"/>
        <v>#N/A</v>
      </c>
      <c r="CD4" t="e">
        <f t="shared" si="7"/>
        <v>#N/A</v>
      </c>
      <c r="CE4" t="e">
        <f t="shared" si="7"/>
        <v>#N/A</v>
      </c>
      <c r="CF4" t="e">
        <f t="shared" si="7"/>
        <v>#N/A</v>
      </c>
      <c r="CG4" t="e">
        <f t="shared" si="7"/>
        <v>#N/A</v>
      </c>
      <c r="CH4" t="e">
        <f t="shared" si="7"/>
        <v>#N/A</v>
      </c>
      <c r="CI4" t="e">
        <f t="shared" si="7"/>
        <v>#N/A</v>
      </c>
      <c r="CJ4" t="e">
        <f t="shared" si="7"/>
        <v>#N/A</v>
      </c>
      <c r="CK4" t="e">
        <f t="shared" ref="CH4:CM14" si="8">INDEX(輸液一覧,MATCH($B4,輸液一覧製品名,0),MATCH(CK$1,輸液一覧成分名,0))</f>
        <v>#N/A</v>
      </c>
      <c r="CL4" t="e">
        <f t="shared" si="8"/>
        <v>#N/A</v>
      </c>
      <c r="CM4" t="e">
        <f t="shared" si="8"/>
        <v>#N/A</v>
      </c>
    </row>
    <row r="5" spans="1:91">
      <c r="A5" t="s">
        <v>342</v>
      </c>
      <c r="B5" s="6">
        <f>入力欄!C5</f>
        <v>0</v>
      </c>
      <c r="C5" t="e">
        <f t="shared" si="0"/>
        <v>#N/A</v>
      </c>
      <c r="D5" t="e">
        <f t="shared" si="0"/>
        <v>#N/A</v>
      </c>
      <c r="E5" t="e">
        <f t="shared" si="0"/>
        <v>#N/A</v>
      </c>
      <c r="F5" t="e">
        <f t="shared" si="0"/>
        <v>#N/A</v>
      </c>
      <c r="G5" t="e">
        <f t="shared" si="0"/>
        <v>#N/A</v>
      </c>
      <c r="H5" t="e">
        <f t="shared" si="0"/>
        <v>#N/A</v>
      </c>
      <c r="I5" t="e">
        <f t="shared" si="0"/>
        <v>#N/A</v>
      </c>
      <c r="J5" t="e">
        <f t="shared" si="0"/>
        <v>#N/A</v>
      </c>
      <c r="K5" t="e">
        <f t="shared" si="0"/>
        <v>#N/A</v>
      </c>
      <c r="L5" t="e">
        <f t="shared" si="0"/>
        <v>#N/A</v>
      </c>
      <c r="M5" t="e">
        <f t="shared" si="1"/>
        <v>#N/A</v>
      </c>
      <c r="N5" t="e">
        <f t="shared" si="1"/>
        <v>#N/A</v>
      </c>
      <c r="O5" t="e">
        <f t="shared" si="1"/>
        <v>#N/A</v>
      </c>
      <c r="P5" t="e">
        <f t="shared" si="1"/>
        <v>#N/A</v>
      </c>
      <c r="Q5" t="e">
        <f t="shared" si="1"/>
        <v>#N/A</v>
      </c>
      <c r="R5" t="e">
        <f t="shared" si="1"/>
        <v>#N/A</v>
      </c>
      <c r="S5" t="e">
        <f t="shared" si="1"/>
        <v>#N/A</v>
      </c>
      <c r="T5" t="e">
        <f t="shared" si="1"/>
        <v>#N/A</v>
      </c>
      <c r="U5" t="e">
        <f t="shared" si="1"/>
        <v>#N/A</v>
      </c>
      <c r="V5" t="e">
        <f t="shared" si="1"/>
        <v>#N/A</v>
      </c>
      <c r="W5" t="e">
        <f t="shared" si="2"/>
        <v>#N/A</v>
      </c>
      <c r="X5" t="e">
        <f t="shared" si="2"/>
        <v>#N/A</v>
      </c>
      <c r="Y5" t="e">
        <f t="shared" si="2"/>
        <v>#N/A</v>
      </c>
      <c r="Z5" t="e">
        <f t="shared" si="2"/>
        <v>#N/A</v>
      </c>
      <c r="AA5" t="e">
        <f t="shared" si="2"/>
        <v>#N/A</v>
      </c>
      <c r="AB5" t="e">
        <f t="shared" si="2"/>
        <v>#N/A</v>
      </c>
      <c r="AC5" t="e">
        <f t="shared" si="2"/>
        <v>#N/A</v>
      </c>
      <c r="AD5" t="e">
        <f t="shared" si="2"/>
        <v>#N/A</v>
      </c>
      <c r="AE5" t="e">
        <f t="shared" si="2"/>
        <v>#N/A</v>
      </c>
      <c r="AF5" t="e">
        <f t="shared" si="2"/>
        <v>#N/A</v>
      </c>
      <c r="AG5" t="e">
        <f t="shared" si="3"/>
        <v>#N/A</v>
      </c>
      <c r="AH5" t="e">
        <f t="shared" si="3"/>
        <v>#N/A</v>
      </c>
      <c r="AI5" t="e">
        <f t="shared" si="3"/>
        <v>#N/A</v>
      </c>
      <c r="AJ5" t="e">
        <f t="shared" si="3"/>
        <v>#N/A</v>
      </c>
      <c r="AK5" t="e">
        <f t="shared" si="3"/>
        <v>#N/A</v>
      </c>
      <c r="AL5" t="e">
        <f t="shared" si="3"/>
        <v>#N/A</v>
      </c>
      <c r="AM5" t="e">
        <f t="shared" si="3"/>
        <v>#N/A</v>
      </c>
      <c r="AN5" t="e">
        <f t="shared" si="3"/>
        <v>#N/A</v>
      </c>
      <c r="AO5" t="e">
        <f t="shared" si="3"/>
        <v>#N/A</v>
      </c>
      <c r="AP5" t="e">
        <f t="shared" si="3"/>
        <v>#N/A</v>
      </c>
      <c r="AQ5" t="e">
        <f t="shared" si="4"/>
        <v>#N/A</v>
      </c>
      <c r="AR5" t="e">
        <f t="shared" si="4"/>
        <v>#N/A</v>
      </c>
      <c r="AS5" t="e">
        <f t="shared" si="4"/>
        <v>#N/A</v>
      </c>
      <c r="AT5" t="e">
        <f t="shared" si="4"/>
        <v>#N/A</v>
      </c>
      <c r="AU5" t="e">
        <f t="shared" si="4"/>
        <v>#N/A</v>
      </c>
      <c r="AV5" t="e">
        <f t="shared" si="4"/>
        <v>#N/A</v>
      </c>
      <c r="AW5" t="e">
        <f t="shared" si="4"/>
        <v>#N/A</v>
      </c>
      <c r="AX5" t="e">
        <f t="shared" si="4"/>
        <v>#N/A</v>
      </c>
      <c r="AY5" t="e">
        <f t="shared" si="4"/>
        <v>#N/A</v>
      </c>
      <c r="AZ5" t="e">
        <f t="shared" si="4"/>
        <v>#N/A</v>
      </c>
      <c r="BA5" t="e">
        <f t="shared" si="5"/>
        <v>#N/A</v>
      </c>
      <c r="BB5" t="e">
        <f t="shared" si="5"/>
        <v>#N/A</v>
      </c>
      <c r="BC5" t="e">
        <f t="shared" si="5"/>
        <v>#N/A</v>
      </c>
      <c r="BD5" t="e">
        <f t="shared" si="5"/>
        <v>#N/A</v>
      </c>
      <c r="BE5" t="e">
        <f t="shared" si="5"/>
        <v>#N/A</v>
      </c>
      <c r="BF5" t="e">
        <f t="shared" si="5"/>
        <v>#N/A</v>
      </c>
      <c r="BG5" t="e">
        <f t="shared" si="5"/>
        <v>#N/A</v>
      </c>
      <c r="BH5" t="e">
        <f t="shared" si="5"/>
        <v>#N/A</v>
      </c>
      <c r="BI5" t="e">
        <f t="shared" si="5"/>
        <v>#N/A</v>
      </c>
      <c r="BJ5" t="e">
        <f t="shared" si="5"/>
        <v>#N/A</v>
      </c>
      <c r="BK5" t="e">
        <f t="shared" si="6"/>
        <v>#N/A</v>
      </c>
      <c r="BL5" t="e">
        <f t="shared" si="6"/>
        <v>#N/A</v>
      </c>
      <c r="BM5" t="e">
        <f t="shared" si="6"/>
        <v>#N/A</v>
      </c>
      <c r="BN5" t="e">
        <f t="shared" si="6"/>
        <v>#N/A</v>
      </c>
      <c r="BO5" t="e">
        <f t="shared" si="6"/>
        <v>#N/A</v>
      </c>
      <c r="BP5" t="e">
        <f t="shared" si="6"/>
        <v>#N/A</v>
      </c>
      <c r="BQ5" t="e">
        <f t="shared" si="6"/>
        <v>#N/A</v>
      </c>
      <c r="BR5" t="e">
        <f t="shared" si="6"/>
        <v>#N/A</v>
      </c>
      <c r="BS5" t="e">
        <f t="shared" si="6"/>
        <v>#N/A</v>
      </c>
      <c r="BT5" t="e">
        <f t="shared" si="6"/>
        <v>#N/A</v>
      </c>
      <c r="BU5" t="e">
        <f t="shared" si="7"/>
        <v>#N/A</v>
      </c>
      <c r="BV5" t="e">
        <f t="shared" si="7"/>
        <v>#N/A</v>
      </c>
      <c r="BW5" t="e">
        <f t="shared" si="7"/>
        <v>#N/A</v>
      </c>
      <c r="BX5" t="e">
        <f t="shared" si="7"/>
        <v>#N/A</v>
      </c>
      <c r="BY5" t="e">
        <f t="shared" si="7"/>
        <v>#N/A</v>
      </c>
      <c r="BZ5" t="e">
        <f t="shared" si="7"/>
        <v>#N/A</v>
      </c>
      <c r="CA5" t="e">
        <f t="shared" si="7"/>
        <v>#N/A</v>
      </c>
      <c r="CB5" t="e">
        <f t="shared" si="7"/>
        <v>#N/A</v>
      </c>
      <c r="CC5" t="e">
        <f t="shared" si="7"/>
        <v>#N/A</v>
      </c>
      <c r="CD5" t="e">
        <f t="shared" si="7"/>
        <v>#N/A</v>
      </c>
      <c r="CE5" t="e">
        <f t="shared" si="7"/>
        <v>#N/A</v>
      </c>
      <c r="CF5" t="e">
        <f t="shared" si="7"/>
        <v>#N/A</v>
      </c>
      <c r="CG5" t="e">
        <f t="shared" si="7"/>
        <v>#N/A</v>
      </c>
      <c r="CH5" t="e">
        <f t="shared" si="8"/>
        <v>#N/A</v>
      </c>
      <c r="CI5" t="e">
        <f t="shared" si="8"/>
        <v>#N/A</v>
      </c>
      <c r="CJ5" t="e">
        <f t="shared" si="8"/>
        <v>#N/A</v>
      </c>
      <c r="CK5" t="e">
        <f t="shared" si="8"/>
        <v>#N/A</v>
      </c>
      <c r="CL5" t="e">
        <f t="shared" si="8"/>
        <v>#N/A</v>
      </c>
      <c r="CM5" t="e">
        <f t="shared" si="8"/>
        <v>#N/A</v>
      </c>
    </row>
    <row r="6" spans="1:91">
      <c r="B6" s="6">
        <f>入力欄!C6</f>
        <v>0</v>
      </c>
      <c r="C6" t="e">
        <f t="shared" si="0"/>
        <v>#N/A</v>
      </c>
      <c r="D6" t="e">
        <f t="shared" si="0"/>
        <v>#N/A</v>
      </c>
      <c r="E6" t="e">
        <f t="shared" si="0"/>
        <v>#N/A</v>
      </c>
      <c r="F6" t="e">
        <f t="shared" si="0"/>
        <v>#N/A</v>
      </c>
      <c r="G6" t="e">
        <f t="shared" si="0"/>
        <v>#N/A</v>
      </c>
      <c r="H6" t="e">
        <f t="shared" si="0"/>
        <v>#N/A</v>
      </c>
      <c r="I6" t="e">
        <f t="shared" si="0"/>
        <v>#N/A</v>
      </c>
      <c r="J6" t="e">
        <f t="shared" si="0"/>
        <v>#N/A</v>
      </c>
      <c r="K6" t="e">
        <f t="shared" si="0"/>
        <v>#N/A</v>
      </c>
      <c r="L6" t="e">
        <f t="shared" si="0"/>
        <v>#N/A</v>
      </c>
      <c r="M6" t="e">
        <f t="shared" si="1"/>
        <v>#N/A</v>
      </c>
      <c r="N6" t="e">
        <f t="shared" si="1"/>
        <v>#N/A</v>
      </c>
      <c r="O6" t="e">
        <f t="shared" si="1"/>
        <v>#N/A</v>
      </c>
      <c r="P6" t="e">
        <f t="shared" si="1"/>
        <v>#N/A</v>
      </c>
      <c r="Q6" t="e">
        <f t="shared" si="1"/>
        <v>#N/A</v>
      </c>
      <c r="R6" t="e">
        <f t="shared" si="1"/>
        <v>#N/A</v>
      </c>
      <c r="S6" t="e">
        <f t="shared" si="1"/>
        <v>#N/A</v>
      </c>
      <c r="T6" t="e">
        <f t="shared" si="1"/>
        <v>#N/A</v>
      </c>
      <c r="U6" t="e">
        <f t="shared" si="1"/>
        <v>#N/A</v>
      </c>
      <c r="V6" t="e">
        <f t="shared" si="1"/>
        <v>#N/A</v>
      </c>
      <c r="W6" t="e">
        <f t="shared" si="2"/>
        <v>#N/A</v>
      </c>
      <c r="X6" t="e">
        <f t="shared" si="2"/>
        <v>#N/A</v>
      </c>
      <c r="Y6" t="e">
        <f t="shared" si="2"/>
        <v>#N/A</v>
      </c>
      <c r="Z6" t="e">
        <f t="shared" si="2"/>
        <v>#N/A</v>
      </c>
      <c r="AA6" t="e">
        <f t="shared" si="2"/>
        <v>#N/A</v>
      </c>
      <c r="AB6" t="e">
        <f t="shared" si="2"/>
        <v>#N/A</v>
      </c>
      <c r="AC6" t="e">
        <f t="shared" si="2"/>
        <v>#N/A</v>
      </c>
      <c r="AD6" t="e">
        <f t="shared" si="2"/>
        <v>#N/A</v>
      </c>
      <c r="AE6" t="e">
        <f t="shared" si="2"/>
        <v>#N/A</v>
      </c>
      <c r="AF6" t="e">
        <f t="shared" si="2"/>
        <v>#N/A</v>
      </c>
      <c r="AG6" t="e">
        <f t="shared" si="3"/>
        <v>#N/A</v>
      </c>
      <c r="AH6" t="e">
        <f t="shared" si="3"/>
        <v>#N/A</v>
      </c>
      <c r="AI6" t="e">
        <f t="shared" si="3"/>
        <v>#N/A</v>
      </c>
      <c r="AJ6" t="e">
        <f t="shared" si="3"/>
        <v>#N/A</v>
      </c>
      <c r="AK6" t="e">
        <f t="shared" si="3"/>
        <v>#N/A</v>
      </c>
      <c r="AL6" t="e">
        <f t="shared" si="3"/>
        <v>#N/A</v>
      </c>
      <c r="AM6" t="e">
        <f t="shared" si="3"/>
        <v>#N/A</v>
      </c>
      <c r="AN6" t="e">
        <f t="shared" si="3"/>
        <v>#N/A</v>
      </c>
      <c r="AO6" t="e">
        <f t="shared" si="3"/>
        <v>#N/A</v>
      </c>
      <c r="AP6" t="e">
        <f t="shared" si="3"/>
        <v>#N/A</v>
      </c>
      <c r="AQ6" t="e">
        <f t="shared" si="4"/>
        <v>#N/A</v>
      </c>
      <c r="AR6" t="e">
        <f t="shared" si="4"/>
        <v>#N/A</v>
      </c>
      <c r="AS6" t="e">
        <f t="shared" si="4"/>
        <v>#N/A</v>
      </c>
      <c r="AT6" t="e">
        <f t="shared" si="4"/>
        <v>#N/A</v>
      </c>
      <c r="AU6" t="e">
        <f t="shared" si="4"/>
        <v>#N/A</v>
      </c>
      <c r="AV6" t="e">
        <f t="shared" si="4"/>
        <v>#N/A</v>
      </c>
      <c r="AW6" t="e">
        <f t="shared" si="4"/>
        <v>#N/A</v>
      </c>
      <c r="AX6" t="e">
        <f t="shared" si="4"/>
        <v>#N/A</v>
      </c>
      <c r="AY6" t="e">
        <f t="shared" si="4"/>
        <v>#N/A</v>
      </c>
      <c r="AZ6" t="e">
        <f t="shared" si="4"/>
        <v>#N/A</v>
      </c>
      <c r="BA6" t="e">
        <f t="shared" si="5"/>
        <v>#N/A</v>
      </c>
      <c r="BB6" t="e">
        <f t="shared" si="5"/>
        <v>#N/A</v>
      </c>
      <c r="BC6" t="e">
        <f t="shared" si="5"/>
        <v>#N/A</v>
      </c>
      <c r="BD6" t="e">
        <f t="shared" si="5"/>
        <v>#N/A</v>
      </c>
      <c r="BE6" t="e">
        <f t="shared" si="5"/>
        <v>#N/A</v>
      </c>
      <c r="BF6" t="e">
        <f t="shared" si="5"/>
        <v>#N/A</v>
      </c>
      <c r="BG6" t="e">
        <f t="shared" si="5"/>
        <v>#N/A</v>
      </c>
      <c r="BH6" t="e">
        <f t="shared" si="5"/>
        <v>#N/A</v>
      </c>
      <c r="BI6" t="e">
        <f t="shared" si="5"/>
        <v>#N/A</v>
      </c>
      <c r="BJ6" t="e">
        <f t="shared" si="5"/>
        <v>#N/A</v>
      </c>
      <c r="BK6" t="e">
        <f t="shared" si="6"/>
        <v>#N/A</v>
      </c>
      <c r="BL6" t="e">
        <f t="shared" si="6"/>
        <v>#N/A</v>
      </c>
      <c r="BM6" t="e">
        <f t="shared" si="6"/>
        <v>#N/A</v>
      </c>
      <c r="BN6" t="e">
        <f t="shared" si="6"/>
        <v>#N/A</v>
      </c>
      <c r="BO6" t="e">
        <f t="shared" si="6"/>
        <v>#N/A</v>
      </c>
      <c r="BP6" t="e">
        <f t="shared" si="6"/>
        <v>#N/A</v>
      </c>
      <c r="BQ6" t="e">
        <f t="shared" si="6"/>
        <v>#N/A</v>
      </c>
      <c r="BR6" t="e">
        <f t="shared" si="6"/>
        <v>#N/A</v>
      </c>
      <c r="BS6" t="e">
        <f t="shared" si="6"/>
        <v>#N/A</v>
      </c>
      <c r="BT6" t="e">
        <f t="shared" si="6"/>
        <v>#N/A</v>
      </c>
      <c r="BU6" t="e">
        <f t="shared" si="7"/>
        <v>#N/A</v>
      </c>
      <c r="BV6" t="e">
        <f t="shared" si="7"/>
        <v>#N/A</v>
      </c>
      <c r="BW6" t="e">
        <f t="shared" si="7"/>
        <v>#N/A</v>
      </c>
      <c r="BX6" t="e">
        <f t="shared" si="7"/>
        <v>#N/A</v>
      </c>
      <c r="BY6" t="e">
        <f t="shared" si="7"/>
        <v>#N/A</v>
      </c>
      <c r="BZ6" t="e">
        <f t="shared" si="7"/>
        <v>#N/A</v>
      </c>
      <c r="CA6" t="e">
        <f t="shared" si="7"/>
        <v>#N/A</v>
      </c>
      <c r="CB6" t="e">
        <f t="shared" si="7"/>
        <v>#N/A</v>
      </c>
      <c r="CC6" t="e">
        <f t="shared" si="7"/>
        <v>#N/A</v>
      </c>
      <c r="CD6" t="e">
        <f t="shared" si="7"/>
        <v>#N/A</v>
      </c>
      <c r="CE6" t="e">
        <f t="shared" si="7"/>
        <v>#N/A</v>
      </c>
      <c r="CF6" t="e">
        <f t="shared" si="7"/>
        <v>#N/A</v>
      </c>
      <c r="CG6" t="e">
        <f t="shared" si="7"/>
        <v>#N/A</v>
      </c>
      <c r="CH6" t="e">
        <f t="shared" si="8"/>
        <v>#N/A</v>
      </c>
      <c r="CI6" t="e">
        <f t="shared" si="8"/>
        <v>#N/A</v>
      </c>
      <c r="CJ6" t="e">
        <f t="shared" si="8"/>
        <v>#N/A</v>
      </c>
      <c r="CK6" t="e">
        <f t="shared" si="8"/>
        <v>#N/A</v>
      </c>
      <c r="CL6" t="e">
        <f t="shared" si="8"/>
        <v>#N/A</v>
      </c>
      <c r="CM6" t="e">
        <f t="shared" si="8"/>
        <v>#N/A</v>
      </c>
    </row>
    <row r="7" spans="1:91">
      <c r="B7" s="6">
        <f>入力欄!C7</f>
        <v>0</v>
      </c>
      <c r="C7" t="e">
        <f t="shared" si="0"/>
        <v>#N/A</v>
      </c>
      <c r="D7" t="e">
        <f t="shared" si="0"/>
        <v>#N/A</v>
      </c>
      <c r="E7" t="e">
        <f t="shared" si="0"/>
        <v>#N/A</v>
      </c>
      <c r="F7" t="e">
        <f t="shared" si="0"/>
        <v>#N/A</v>
      </c>
      <c r="G7" t="e">
        <f t="shared" si="0"/>
        <v>#N/A</v>
      </c>
      <c r="H7" t="e">
        <f t="shared" si="0"/>
        <v>#N/A</v>
      </c>
      <c r="I7" t="e">
        <f t="shared" si="0"/>
        <v>#N/A</v>
      </c>
      <c r="J7" t="e">
        <f t="shared" si="0"/>
        <v>#N/A</v>
      </c>
      <c r="K7" t="e">
        <f t="shared" si="0"/>
        <v>#N/A</v>
      </c>
      <c r="L7" t="e">
        <f t="shared" si="0"/>
        <v>#N/A</v>
      </c>
      <c r="M7" t="e">
        <f t="shared" si="1"/>
        <v>#N/A</v>
      </c>
      <c r="N7" t="e">
        <f t="shared" si="1"/>
        <v>#N/A</v>
      </c>
      <c r="O7" t="e">
        <f t="shared" si="1"/>
        <v>#N/A</v>
      </c>
      <c r="P7" t="e">
        <f t="shared" si="1"/>
        <v>#N/A</v>
      </c>
      <c r="Q7" t="e">
        <f t="shared" si="1"/>
        <v>#N/A</v>
      </c>
      <c r="R7" t="e">
        <f t="shared" si="1"/>
        <v>#N/A</v>
      </c>
      <c r="S7" t="e">
        <f t="shared" si="1"/>
        <v>#N/A</v>
      </c>
      <c r="T7" t="e">
        <f t="shared" si="1"/>
        <v>#N/A</v>
      </c>
      <c r="U7" t="e">
        <f t="shared" si="1"/>
        <v>#N/A</v>
      </c>
      <c r="V7" t="e">
        <f t="shared" si="1"/>
        <v>#N/A</v>
      </c>
      <c r="W7" t="e">
        <f t="shared" si="2"/>
        <v>#N/A</v>
      </c>
      <c r="X7" t="e">
        <f t="shared" si="2"/>
        <v>#N/A</v>
      </c>
      <c r="Y7" t="e">
        <f t="shared" si="2"/>
        <v>#N/A</v>
      </c>
      <c r="Z7" t="e">
        <f t="shared" si="2"/>
        <v>#N/A</v>
      </c>
      <c r="AA7" t="e">
        <f t="shared" si="2"/>
        <v>#N/A</v>
      </c>
      <c r="AB7" t="e">
        <f t="shared" si="2"/>
        <v>#N/A</v>
      </c>
      <c r="AC7" t="e">
        <f t="shared" si="2"/>
        <v>#N/A</v>
      </c>
      <c r="AD7" t="e">
        <f t="shared" si="2"/>
        <v>#N/A</v>
      </c>
      <c r="AE7" t="e">
        <f t="shared" si="2"/>
        <v>#N/A</v>
      </c>
      <c r="AF7" t="e">
        <f t="shared" si="2"/>
        <v>#N/A</v>
      </c>
      <c r="AG7" t="e">
        <f t="shared" si="3"/>
        <v>#N/A</v>
      </c>
      <c r="AH7" t="e">
        <f t="shared" si="3"/>
        <v>#N/A</v>
      </c>
      <c r="AI7" t="e">
        <f t="shared" si="3"/>
        <v>#N/A</v>
      </c>
      <c r="AJ7" t="e">
        <f t="shared" si="3"/>
        <v>#N/A</v>
      </c>
      <c r="AK7" t="e">
        <f t="shared" si="3"/>
        <v>#N/A</v>
      </c>
      <c r="AL7" t="e">
        <f t="shared" si="3"/>
        <v>#N/A</v>
      </c>
      <c r="AM7" t="e">
        <f t="shared" si="3"/>
        <v>#N/A</v>
      </c>
      <c r="AN7" t="e">
        <f t="shared" si="3"/>
        <v>#N/A</v>
      </c>
      <c r="AO7" t="e">
        <f t="shared" si="3"/>
        <v>#N/A</v>
      </c>
      <c r="AP7" t="e">
        <f t="shared" si="3"/>
        <v>#N/A</v>
      </c>
      <c r="AQ7" t="e">
        <f t="shared" si="4"/>
        <v>#N/A</v>
      </c>
      <c r="AR7" t="e">
        <f t="shared" si="4"/>
        <v>#N/A</v>
      </c>
      <c r="AS7" t="e">
        <f t="shared" si="4"/>
        <v>#N/A</v>
      </c>
      <c r="AT7" t="e">
        <f t="shared" si="4"/>
        <v>#N/A</v>
      </c>
      <c r="AU7" t="e">
        <f t="shared" si="4"/>
        <v>#N/A</v>
      </c>
      <c r="AV7" t="e">
        <f t="shared" si="4"/>
        <v>#N/A</v>
      </c>
      <c r="AW7" t="e">
        <f t="shared" si="4"/>
        <v>#N/A</v>
      </c>
      <c r="AX7" t="e">
        <f t="shared" si="4"/>
        <v>#N/A</v>
      </c>
      <c r="AY7" t="e">
        <f t="shared" si="4"/>
        <v>#N/A</v>
      </c>
      <c r="AZ7" t="e">
        <f t="shared" si="4"/>
        <v>#N/A</v>
      </c>
      <c r="BA7" t="e">
        <f t="shared" si="5"/>
        <v>#N/A</v>
      </c>
      <c r="BB7" t="e">
        <f t="shared" si="5"/>
        <v>#N/A</v>
      </c>
      <c r="BC7" t="e">
        <f t="shared" si="5"/>
        <v>#N/A</v>
      </c>
      <c r="BD7" t="e">
        <f t="shared" si="5"/>
        <v>#N/A</v>
      </c>
      <c r="BE7" t="e">
        <f t="shared" si="5"/>
        <v>#N/A</v>
      </c>
      <c r="BF7" t="e">
        <f t="shared" si="5"/>
        <v>#N/A</v>
      </c>
      <c r="BG7" t="e">
        <f t="shared" si="5"/>
        <v>#N/A</v>
      </c>
      <c r="BH7" t="e">
        <f t="shared" si="5"/>
        <v>#N/A</v>
      </c>
      <c r="BI7" t="e">
        <f t="shared" si="5"/>
        <v>#N/A</v>
      </c>
      <c r="BJ7" t="e">
        <f t="shared" si="5"/>
        <v>#N/A</v>
      </c>
      <c r="BK7" t="e">
        <f t="shared" si="6"/>
        <v>#N/A</v>
      </c>
      <c r="BL7" t="e">
        <f t="shared" si="6"/>
        <v>#N/A</v>
      </c>
      <c r="BM7" t="e">
        <f t="shared" si="6"/>
        <v>#N/A</v>
      </c>
      <c r="BN7" t="e">
        <f t="shared" si="6"/>
        <v>#N/A</v>
      </c>
      <c r="BO7" t="e">
        <f t="shared" si="6"/>
        <v>#N/A</v>
      </c>
      <c r="BP7" t="e">
        <f t="shared" si="6"/>
        <v>#N/A</v>
      </c>
      <c r="BQ7" t="e">
        <f t="shared" si="6"/>
        <v>#N/A</v>
      </c>
      <c r="BR7" t="e">
        <f t="shared" si="6"/>
        <v>#N/A</v>
      </c>
      <c r="BS7" t="e">
        <f t="shared" si="6"/>
        <v>#N/A</v>
      </c>
      <c r="BT7" t="e">
        <f t="shared" si="6"/>
        <v>#N/A</v>
      </c>
      <c r="BU7" t="e">
        <f t="shared" si="7"/>
        <v>#N/A</v>
      </c>
      <c r="BV7" t="e">
        <f t="shared" si="7"/>
        <v>#N/A</v>
      </c>
      <c r="BW7" t="e">
        <f t="shared" si="7"/>
        <v>#N/A</v>
      </c>
      <c r="BX7" t="e">
        <f t="shared" si="7"/>
        <v>#N/A</v>
      </c>
      <c r="BY7" t="e">
        <f t="shared" si="7"/>
        <v>#N/A</v>
      </c>
      <c r="BZ7" t="e">
        <f t="shared" si="7"/>
        <v>#N/A</v>
      </c>
      <c r="CA7" t="e">
        <f t="shared" si="7"/>
        <v>#N/A</v>
      </c>
      <c r="CB7" t="e">
        <f t="shared" si="7"/>
        <v>#N/A</v>
      </c>
      <c r="CC7" t="e">
        <f t="shared" si="7"/>
        <v>#N/A</v>
      </c>
      <c r="CD7" t="e">
        <f t="shared" si="7"/>
        <v>#N/A</v>
      </c>
      <c r="CE7" t="e">
        <f t="shared" si="7"/>
        <v>#N/A</v>
      </c>
      <c r="CF7" t="e">
        <f t="shared" si="7"/>
        <v>#N/A</v>
      </c>
      <c r="CG7" t="e">
        <f t="shared" si="7"/>
        <v>#N/A</v>
      </c>
      <c r="CH7" t="e">
        <f t="shared" si="8"/>
        <v>#N/A</v>
      </c>
      <c r="CI7" t="e">
        <f t="shared" si="8"/>
        <v>#N/A</v>
      </c>
      <c r="CJ7" t="e">
        <f t="shared" si="8"/>
        <v>#N/A</v>
      </c>
      <c r="CK7" t="e">
        <f t="shared" si="8"/>
        <v>#N/A</v>
      </c>
      <c r="CL7" t="e">
        <f t="shared" si="8"/>
        <v>#N/A</v>
      </c>
      <c r="CM7" t="e">
        <f t="shared" si="8"/>
        <v>#N/A</v>
      </c>
    </row>
    <row r="8" spans="1:91">
      <c r="B8" s="6">
        <f>入力欄!C8</f>
        <v>0</v>
      </c>
      <c r="C8" t="e">
        <f t="shared" si="0"/>
        <v>#N/A</v>
      </c>
      <c r="D8" t="e">
        <f t="shared" si="0"/>
        <v>#N/A</v>
      </c>
      <c r="E8" t="e">
        <f t="shared" si="0"/>
        <v>#N/A</v>
      </c>
      <c r="F8" t="e">
        <f t="shared" si="0"/>
        <v>#N/A</v>
      </c>
      <c r="G8" t="e">
        <f t="shared" si="0"/>
        <v>#N/A</v>
      </c>
      <c r="H8" t="e">
        <f t="shared" si="0"/>
        <v>#N/A</v>
      </c>
      <c r="I8" t="e">
        <f t="shared" si="0"/>
        <v>#N/A</v>
      </c>
      <c r="J8" t="e">
        <f t="shared" si="0"/>
        <v>#N/A</v>
      </c>
      <c r="K8" t="e">
        <f t="shared" si="0"/>
        <v>#N/A</v>
      </c>
      <c r="L8" t="e">
        <f t="shared" si="0"/>
        <v>#N/A</v>
      </c>
      <c r="M8" t="e">
        <f t="shared" si="1"/>
        <v>#N/A</v>
      </c>
      <c r="N8" t="e">
        <f t="shared" si="1"/>
        <v>#N/A</v>
      </c>
      <c r="O8" t="e">
        <f t="shared" si="1"/>
        <v>#N/A</v>
      </c>
      <c r="P8" t="e">
        <f t="shared" si="1"/>
        <v>#N/A</v>
      </c>
      <c r="Q8" t="e">
        <f t="shared" si="1"/>
        <v>#N/A</v>
      </c>
      <c r="R8" t="e">
        <f t="shared" si="1"/>
        <v>#N/A</v>
      </c>
      <c r="S8" t="e">
        <f t="shared" si="1"/>
        <v>#N/A</v>
      </c>
      <c r="T8" t="e">
        <f t="shared" si="1"/>
        <v>#N/A</v>
      </c>
      <c r="U8" t="e">
        <f t="shared" si="1"/>
        <v>#N/A</v>
      </c>
      <c r="V8" t="e">
        <f t="shared" si="1"/>
        <v>#N/A</v>
      </c>
      <c r="W8" t="e">
        <f t="shared" si="2"/>
        <v>#N/A</v>
      </c>
      <c r="X8" t="e">
        <f t="shared" si="2"/>
        <v>#N/A</v>
      </c>
      <c r="Y8" t="e">
        <f t="shared" si="2"/>
        <v>#N/A</v>
      </c>
      <c r="Z8" t="e">
        <f t="shared" si="2"/>
        <v>#N/A</v>
      </c>
      <c r="AA8" t="e">
        <f t="shared" si="2"/>
        <v>#N/A</v>
      </c>
      <c r="AB8" t="e">
        <f t="shared" si="2"/>
        <v>#N/A</v>
      </c>
      <c r="AC8" t="e">
        <f t="shared" si="2"/>
        <v>#N/A</v>
      </c>
      <c r="AD8" t="e">
        <f t="shared" si="2"/>
        <v>#N/A</v>
      </c>
      <c r="AE8" t="e">
        <f t="shared" si="2"/>
        <v>#N/A</v>
      </c>
      <c r="AF8" t="e">
        <f t="shared" si="2"/>
        <v>#N/A</v>
      </c>
      <c r="AG8" t="e">
        <f t="shared" si="3"/>
        <v>#N/A</v>
      </c>
      <c r="AH8" t="e">
        <f t="shared" si="3"/>
        <v>#N/A</v>
      </c>
      <c r="AI8" t="e">
        <f t="shared" si="3"/>
        <v>#N/A</v>
      </c>
      <c r="AJ8" t="e">
        <f t="shared" si="3"/>
        <v>#N/A</v>
      </c>
      <c r="AK8" t="e">
        <f t="shared" si="3"/>
        <v>#N/A</v>
      </c>
      <c r="AL8" t="e">
        <f t="shared" si="3"/>
        <v>#N/A</v>
      </c>
      <c r="AM8" t="e">
        <f t="shared" si="3"/>
        <v>#N/A</v>
      </c>
      <c r="AN8" t="e">
        <f t="shared" si="3"/>
        <v>#N/A</v>
      </c>
      <c r="AO8" t="e">
        <f t="shared" si="3"/>
        <v>#N/A</v>
      </c>
      <c r="AP8" t="e">
        <f t="shared" si="3"/>
        <v>#N/A</v>
      </c>
      <c r="AQ8" t="e">
        <f t="shared" si="4"/>
        <v>#N/A</v>
      </c>
      <c r="AR8" t="e">
        <f t="shared" si="4"/>
        <v>#N/A</v>
      </c>
      <c r="AS8" t="e">
        <f t="shared" si="4"/>
        <v>#N/A</v>
      </c>
      <c r="AT8" t="e">
        <f t="shared" si="4"/>
        <v>#N/A</v>
      </c>
      <c r="AU8" t="e">
        <f t="shared" si="4"/>
        <v>#N/A</v>
      </c>
      <c r="AV8" t="e">
        <f t="shared" si="4"/>
        <v>#N/A</v>
      </c>
      <c r="AW8" t="e">
        <f t="shared" si="4"/>
        <v>#N/A</v>
      </c>
      <c r="AX8" t="e">
        <f t="shared" si="4"/>
        <v>#N/A</v>
      </c>
      <c r="AY8" t="e">
        <f t="shared" si="4"/>
        <v>#N/A</v>
      </c>
      <c r="AZ8" t="e">
        <f t="shared" si="4"/>
        <v>#N/A</v>
      </c>
      <c r="BA8" t="e">
        <f t="shared" si="5"/>
        <v>#N/A</v>
      </c>
      <c r="BB8" t="e">
        <f t="shared" si="5"/>
        <v>#N/A</v>
      </c>
      <c r="BC8" t="e">
        <f t="shared" si="5"/>
        <v>#N/A</v>
      </c>
      <c r="BD8" t="e">
        <f t="shared" si="5"/>
        <v>#N/A</v>
      </c>
      <c r="BE8" t="e">
        <f t="shared" si="5"/>
        <v>#N/A</v>
      </c>
      <c r="BF8" t="e">
        <f t="shared" si="5"/>
        <v>#N/A</v>
      </c>
      <c r="BG8" t="e">
        <f t="shared" si="5"/>
        <v>#N/A</v>
      </c>
      <c r="BH8" t="e">
        <f t="shared" si="5"/>
        <v>#N/A</v>
      </c>
      <c r="BI8" t="e">
        <f t="shared" si="5"/>
        <v>#N/A</v>
      </c>
      <c r="BJ8" t="e">
        <f t="shared" si="5"/>
        <v>#N/A</v>
      </c>
      <c r="BK8" t="e">
        <f t="shared" si="6"/>
        <v>#N/A</v>
      </c>
      <c r="BL8" t="e">
        <f t="shared" si="6"/>
        <v>#N/A</v>
      </c>
      <c r="BM8" t="e">
        <f t="shared" si="6"/>
        <v>#N/A</v>
      </c>
      <c r="BN8" t="e">
        <f t="shared" si="6"/>
        <v>#N/A</v>
      </c>
      <c r="BO8" t="e">
        <f t="shared" si="6"/>
        <v>#N/A</v>
      </c>
      <c r="BP8" t="e">
        <f t="shared" si="6"/>
        <v>#N/A</v>
      </c>
      <c r="BQ8" t="e">
        <f t="shared" si="6"/>
        <v>#N/A</v>
      </c>
      <c r="BR8" t="e">
        <f t="shared" si="6"/>
        <v>#N/A</v>
      </c>
      <c r="BS8" t="e">
        <f t="shared" si="6"/>
        <v>#N/A</v>
      </c>
      <c r="BT8" t="e">
        <f t="shared" si="6"/>
        <v>#N/A</v>
      </c>
      <c r="BU8" t="e">
        <f t="shared" si="7"/>
        <v>#N/A</v>
      </c>
      <c r="BV8" t="e">
        <f t="shared" si="7"/>
        <v>#N/A</v>
      </c>
      <c r="BW8" t="e">
        <f t="shared" si="7"/>
        <v>#N/A</v>
      </c>
      <c r="BX8" t="e">
        <f t="shared" si="7"/>
        <v>#N/A</v>
      </c>
      <c r="BY8" t="e">
        <f t="shared" si="7"/>
        <v>#N/A</v>
      </c>
      <c r="BZ8" t="e">
        <f t="shared" si="7"/>
        <v>#N/A</v>
      </c>
      <c r="CA8" t="e">
        <f t="shared" si="7"/>
        <v>#N/A</v>
      </c>
      <c r="CB8" t="e">
        <f t="shared" si="7"/>
        <v>#N/A</v>
      </c>
      <c r="CC8" t="e">
        <f t="shared" si="7"/>
        <v>#N/A</v>
      </c>
      <c r="CD8" t="e">
        <f t="shared" si="7"/>
        <v>#N/A</v>
      </c>
      <c r="CE8" t="e">
        <f t="shared" si="7"/>
        <v>#N/A</v>
      </c>
      <c r="CF8" t="e">
        <f t="shared" si="7"/>
        <v>#N/A</v>
      </c>
      <c r="CG8" t="e">
        <f t="shared" si="7"/>
        <v>#N/A</v>
      </c>
      <c r="CH8" t="e">
        <f t="shared" si="8"/>
        <v>#N/A</v>
      </c>
      <c r="CI8" t="e">
        <f t="shared" si="8"/>
        <v>#N/A</v>
      </c>
      <c r="CJ8" t="e">
        <f t="shared" si="8"/>
        <v>#N/A</v>
      </c>
      <c r="CK8" t="e">
        <f t="shared" si="8"/>
        <v>#N/A</v>
      </c>
      <c r="CL8" t="e">
        <f t="shared" si="8"/>
        <v>#N/A</v>
      </c>
      <c r="CM8" t="e">
        <f t="shared" si="8"/>
        <v>#N/A</v>
      </c>
    </row>
    <row r="9" spans="1:91">
      <c r="B9" s="6">
        <f>入力欄!C9</f>
        <v>0</v>
      </c>
      <c r="C9" t="e">
        <f t="shared" si="0"/>
        <v>#N/A</v>
      </c>
      <c r="D9" t="e">
        <f t="shared" si="0"/>
        <v>#N/A</v>
      </c>
      <c r="E9" t="e">
        <f t="shared" si="0"/>
        <v>#N/A</v>
      </c>
      <c r="F9" t="e">
        <f t="shared" si="0"/>
        <v>#N/A</v>
      </c>
      <c r="G9" t="e">
        <f t="shared" si="0"/>
        <v>#N/A</v>
      </c>
      <c r="H9" t="e">
        <f t="shared" si="0"/>
        <v>#N/A</v>
      </c>
      <c r="I9" t="e">
        <f t="shared" si="0"/>
        <v>#N/A</v>
      </c>
      <c r="J9" t="e">
        <f t="shared" si="0"/>
        <v>#N/A</v>
      </c>
      <c r="K9" t="e">
        <f t="shared" si="0"/>
        <v>#N/A</v>
      </c>
      <c r="L9" t="e">
        <f t="shared" si="0"/>
        <v>#N/A</v>
      </c>
      <c r="M9" t="e">
        <f t="shared" si="1"/>
        <v>#N/A</v>
      </c>
      <c r="N9" t="e">
        <f t="shared" si="1"/>
        <v>#N/A</v>
      </c>
      <c r="O9" t="e">
        <f t="shared" si="1"/>
        <v>#N/A</v>
      </c>
      <c r="P9" t="e">
        <f t="shared" si="1"/>
        <v>#N/A</v>
      </c>
      <c r="Q9" t="e">
        <f t="shared" si="1"/>
        <v>#N/A</v>
      </c>
      <c r="R9" t="e">
        <f t="shared" si="1"/>
        <v>#N/A</v>
      </c>
      <c r="S9" t="e">
        <f t="shared" si="1"/>
        <v>#N/A</v>
      </c>
      <c r="T9" t="e">
        <f t="shared" si="1"/>
        <v>#N/A</v>
      </c>
      <c r="U9" t="e">
        <f t="shared" si="1"/>
        <v>#N/A</v>
      </c>
      <c r="V9" t="e">
        <f t="shared" si="1"/>
        <v>#N/A</v>
      </c>
      <c r="W9" t="e">
        <f t="shared" si="2"/>
        <v>#N/A</v>
      </c>
      <c r="X9" t="e">
        <f t="shared" si="2"/>
        <v>#N/A</v>
      </c>
      <c r="Y9" t="e">
        <f t="shared" si="2"/>
        <v>#N/A</v>
      </c>
      <c r="Z9" t="e">
        <f t="shared" si="2"/>
        <v>#N/A</v>
      </c>
      <c r="AA9" t="e">
        <f t="shared" si="2"/>
        <v>#N/A</v>
      </c>
      <c r="AB9" t="e">
        <f t="shared" si="2"/>
        <v>#N/A</v>
      </c>
      <c r="AC9" t="e">
        <f t="shared" si="2"/>
        <v>#N/A</v>
      </c>
      <c r="AD9" t="e">
        <f t="shared" si="2"/>
        <v>#N/A</v>
      </c>
      <c r="AE9" t="e">
        <f t="shared" si="2"/>
        <v>#N/A</v>
      </c>
      <c r="AF9" t="e">
        <f t="shared" si="2"/>
        <v>#N/A</v>
      </c>
      <c r="AG9" t="e">
        <f t="shared" si="3"/>
        <v>#N/A</v>
      </c>
      <c r="AH9" t="e">
        <f t="shared" si="3"/>
        <v>#N/A</v>
      </c>
      <c r="AI9" t="e">
        <f t="shared" si="3"/>
        <v>#N/A</v>
      </c>
      <c r="AJ9" t="e">
        <f t="shared" si="3"/>
        <v>#N/A</v>
      </c>
      <c r="AK9" t="e">
        <f t="shared" si="3"/>
        <v>#N/A</v>
      </c>
      <c r="AL9" t="e">
        <f t="shared" si="3"/>
        <v>#N/A</v>
      </c>
      <c r="AM9" t="e">
        <f t="shared" si="3"/>
        <v>#N/A</v>
      </c>
      <c r="AN9" t="e">
        <f t="shared" si="3"/>
        <v>#N/A</v>
      </c>
      <c r="AO9" t="e">
        <f t="shared" si="3"/>
        <v>#N/A</v>
      </c>
      <c r="AP9" t="e">
        <f t="shared" si="3"/>
        <v>#N/A</v>
      </c>
      <c r="AQ9" t="e">
        <f t="shared" si="4"/>
        <v>#N/A</v>
      </c>
      <c r="AR9" t="e">
        <f t="shared" si="4"/>
        <v>#N/A</v>
      </c>
      <c r="AS9" t="e">
        <f t="shared" si="4"/>
        <v>#N/A</v>
      </c>
      <c r="AT9" t="e">
        <f t="shared" si="4"/>
        <v>#N/A</v>
      </c>
      <c r="AU9" t="e">
        <f t="shared" si="4"/>
        <v>#N/A</v>
      </c>
      <c r="AV9" t="e">
        <f t="shared" si="4"/>
        <v>#N/A</v>
      </c>
      <c r="AW9" t="e">
        <f t="shared" si="4"/>
        <v>#N/A</v>
      </c>
      <c r="AX9" t="e">
        <f t="shared" si="4"/>
        <v>#N/A</v>
      </c>
      <c r="AY9" t="e">
        <f t="shared" si="4"/>
        <v>#N/A</v>
      </c>
      <c r="AZ9" t="e">
        <f t="shared" si="4"/>
        <v>#N/A</v>
      </c>
      <c r="BA9" t="e">
        <f t="shared" si="5"/>
        <v>#N/A</v>
      </c>
      <c r="BB9" t="e">
        <f t="shared" si="5"/>
        <v>#N/A</v>
      </c>
      <c r="BC9" t="e">
        <f t="shared" si="5"/>
        <v>#N/A</v>
      </c>
      <c r="BD9" t="e">
        <f t="shared" si="5"/>
        <v>#N/A</v>
      </c>
      <c r="BE9" t="e">
        <f t="shared" si="5"/>
        <v>#N/A</v>
      </c>
      <c r="BF9" t="e">
        <f t="shared" si="5"/>
        <v>#N/A</v>
      </c>
      <c r="BG9" t="e">
        <f t="shared" si="5"/>
        <v>#N/A</v>
      </c>
      <c r="BH9" t="e">
        <f t="shared" si="5"/>
        <v>#N/A</v>
      </c>
      <c r="BI9" t="e">
        <f t="shared" si="5"/>
        <v>#N/A</v>
      </c>
      <c r="BJ9" t="e">
        <f t="shared" si="5"/>
        <v>#N/A</v>
      </c>
      <c r="BK9" t="e">
        <f t="shared" si="6"/>
        <v>#N/A</v>
      </c>
      <c r="BL9" t="e">
        <f t="shared" si="6"/>
        <v>#N/A</v>
      </c>
      <c r="BM9" t="e">
        <f t="shared" si="6"/>
        <v>#N/A</v>
      </c>
      <c r="BN9" t="e">
        <f t="shared" si="6"/>
        <v>#N/A</v>
      </c>
      <c r="BO9" t="e">
        <f t="shared" si="6"/>
        <v>#N/A</v>
      </c>
      <c r="BP9" t="e">
        <f t="shared" si="6"/>
        <v>#N/A</v>
      </c>
      <c r="BQ9" t="e">
        <f t="shared" si="6"/>
        <v>#N/A</v>
      </c>
      <c r="BR9" t="e">
        <f t="shared" si="6"/>
        <v>#N/A</v>
      </c>
      <c r="BS9" t="e">
        <f t="shared" si="6"/>
        <v>#N/A</v>
      </c>
      <c r="BT9" t="e">
        <f t="shared" si="6"/>
        <v>#N/A</v>
      </c>
      <c r="BU9" t="e">
        <f t="shared" si="7"/>
        <v>#N/A</v>
      </c>
      <c r="BV9" t="e">
        <f t="shared" si="7"/>
        <v>#N/A</v>
      </c>
      <c r="BW9" t="e">
        <f t="shared" si="7"/>
        <v>#N/A</v>
      </c>
      <c r="BX9" t="e">
        <f t="shared" si="7"/>
        <v>#N/A</v>
      </c>
      <c r="BY9" t="e">
        <f t="shared" si="7"/>
        <v>#N/A</v>
      </c>
      <c r="BZ9" t="e">
        <f t="shared" si="7"/>
        <v>#N/A</v>
      </c>
      <c r="CA9" t="e">
        <f t="shared" si="7"/>
        <v>#N/A</v>
      </c>
      <c r="CB9" t="e">
        <f t="shared" si="7"/>
        <v>#N/A</v>
      </c>
      <c r="CC9" t="e">
        <f t="shared" si="7"/>
        <v>#N/A</v>
      </c>
      <c r="CD9" t="e">
        <f t="shared" si="7"/>
        <v>#N/A</v>
      </c>
      <c r="CE9" t="e">
        <f t="shared" si="7"/>
        <v>#N/A</v>
      </c>
      <c r="CF9" t="e">
        <f t="shared" si="7"/>
        <v>#N/A</v>
      </c>
      <c r="CG9" t="e">
        <f t="shared" si="7"/>
        <v>#N/A</v>
      </c>
      <c r="CH9" t="e">
        <f t="shared" si="8"/>
        <v>#N/A</v>
      </c>
      <c r="CI9" t="e">
        <f t="shared" si="8"/>
        <v>#N/A</v>
      </c>
      <c r="CJ9" t="e">
        <f t="shared" si="8"/>
        <v>#N/A</v>
      </c>
      <c r="CK9" t="e">
        <f t="shared" si="8"/>
        <v>#N/A</v>
      </c>
      <c r="CL9" t="e">
        <f t="shared" si="8"/>
        <v>#N/A</v>
      </c>
      <c r="CM9" t="e">
        <f t="shared" si="8"/>
        <v>#N/A</v>
      </c>
    </row>
    <row r="10" spans="1:91">
      <c r="B10" s="6">
        <f>入力欄!C10</f>
        <v>0</v>
      </c>
      <c r="C10" t="e">
        <f t="shared" si="0"/>
        <v>#N/A</v>
      </c>
      <c r="D10" t="e">
        <f t="shared" si="0"/>
        <v>#N/A</v>
      </c>
      <c r="E10" t="e">
        <f t="shared" si="0"/>
        <v>#N/A</v>
      </c>
      <c r="F10" t="e">
        <f t="shared" si="0"/>
        <v>#N/A</v>
      </c>
      <c r="G10" t="e">
        <f t="shared" si="0"/>
        <v>#N/A</v>
      </c>
      <c r="H10" t="e">
        <f t="shared" si="0"/>
        <v>#N/A</v>
      </c>
      <c r="I10" t="e">
        <f t="shared" si="0"/>
        <v>#N/A</v>
      </c>
      <c r="J10" t="e">
        <f t="shared" si="0"/>
        <v>#N/A</v>
      </c>
      <c r="K10" t="e">
        <f t="shared" si="0"/>
        <v>#N/A</v>
      </c>
      <c r="L10" t="e">
        <f t="shared" si="0"/>
        <v>#N/A</v>
      </c>
      <c r="M10" t="e">
        <f t="shared" si="1"/>
        <v>#N/A</v>
      </c>
      <c r="N10" t="e">
        <f t="shared" si="1"/>
        <v>#N/A</v>
      </c>
      <c r="O10" t="e">
        <f t="shared" si="1"/>
        <v>#N/A</v>
      </c>
      <c r="P10" t="e">
        <f t="shared" si="1"/>
        <v>#N/A</v>
      </c>
      <c r="Q10" t="e">
        <f t="shared" si="1"/>
        <v>#N/A</v>
      </c>
      <c r="R10" t="e">
        <f t="shared" si="1"/>
        <v>#N/A</v>
      </c>
      <c r="S10" t="e">
        <f t="shared" si="1"/>
        <v>#N/A</v>
      </c>
      <c r="T10" t="e">
        <f t="shared" si="1"/>
        <v>#N/A</v>
      </c>
      <c r="U10" t="e">
        <f t="shared" si="1"/>
        <v>#N/A</v>
      </c>
      <c r="V10" t="e">
        <f t="shared" si="1"/>
        <v>#N/A</v>
      </c>
      <c r="W10" t="e">
        <f t="shared" si="2"/>
        <v>#N/A</v>
      </c>
      <c r="X10" t="e">
        <f t="shared" si="2"/>
        <v>#N/A</v>
      </c>
      <c r="Y10" t="e">
        <f t="shared" si="2"/>
        <v>#N/A</v>
      </c>
      <c r="Z10" t="e">
        <f t="shared" si="2"/>
        <v>#N/A</v>
      </c>
      <c r="AA10" t="e">
        <f t="shared" si="2"/>
        <v>#N/A</v>
      </c>
      <c r="AB10" t="e">
        <f t="shared" si="2"/>
        <v>#N/A</v>
      </c>
      <c r="AC10" t="e">
        <f t="shared" si="2"/>
        <v>#N/A</v>
      </c>
      <c r="AD10" t="e">
        <f t="shared" si="2"/>
        <v>#N/A</v>
      </c>
      <c r="AE10" t="e">
        <f t="shared" si="2"/>
        <v>#N/A</v>
      </c>
      <c r="AF10" t="e">
        <f t="shared" si="2"/>
        <v>#N/A</v>
      </c>
      <c r="AG10" t="e">
        <f t="shared" si="3"/>
        <v>#N/A</v>
      </c>
      <c r="AH10" t="e">
        <f t="shared" si="3"/>
        <v>#N/A</v>
      </c>
      <c r="AI10" t="e">
        <f t="shared" si="3"/>
        <v>#N/A</v>
      </c>
      <c r="AJ10" t="e">
        <f t="shared" si="3"/>
        <v>#N/A</v>
      </c>
      <c r="AK10" t="e">
        <f t="shared" si="3"/>
        <v>#N/A</v>
      </c>
      <c r="AL10" t="e">
        <f t="shared" si="3"/>
        <v>#N/A</v>
      </c>
      <c r="AM10" t="e">
        <f t="shared" si="3"/>
        <v>#N/A</v>
      </c>
      <c r="AN10" t="e">
        <f t="shared" si="3"/>
        <v>#N/A</v>
      </c>
      <c r="AO10" t="e">
        <f t="shared" si="3"/>
        <v>#N/A</v>
      </c>
      <c r="AP10" t="e">
        <f t="shared" si="3"/>
        <v>#N/A</v>
      </c>
      <c r="AQ10" t="e">
        <f t="shared" si="4"/>
        <v>#N/A</v>
      </c>
      <c r="AR10" t="e">
        <f t="shared" si="4"/>
        <v>#N/A</v>
      </c>
      <c r="AS10" t="e">
        <f t="shared" si="4"/>
        <v>#N/A</v>
      </c>
      <c r="AT10" t="e">
        <f t="shared" si="4"/>
        <v>#N/A</v>
      </c>
      <c r="AU10" t="e">
        <f t="shared" si="4"/>
        <v>#N/A</v>
      </c>
      <c r="AV10" t="e">
        <f t="shared" si="4"/>
        <v>#N/A</v>
      </c>
      <c r="AW10" t="e">
        <f t="shared" si="4"/>
        <v>#N/A</v>
      </c>
      <c r="AX10" t="e">
        <f t="shared" si="4"/>
        <v>#N/A</v>
      </c>
      <c r="AY10" t="e">
        <f t="shared" si="4"/>
        <v>#N/A</v>
      </c>
      <c r="AZ10" t="e">
        <f t="shared" si="4"/>
        <v>#N/A</v>
      </c>
      <c r="BA10" t="e">
        <f t="shared" si="5"/>
        <v>#N/A</v>
      </c>
      <c r="BB10" t="e">
        <f t="shared" si="5"/>
        <v>#N/A</v>
      </c>
      <c r="BC10" t="e">
        <f t="shared" si="5"/>
        <v>#N/A</v>
      </c>
      <c r="BD10" t="e">
        <f t="shared" si="5"/>
        <v>#N/A</v>
      </c>
      <c r="BE10" t="e">
        <f t="shared" si="5"/>
        <v>#N/A</v>
      </c>
      <c r="BF10" t="e">
        <f t="shared" si="5"/>
        <v>#N/A</v>
      </c>
      <c r="BG10" t="e">
        <f t="shared" si="5"/>
        <v>#N/A</v>
      </c>
      <c r="BH10" t="e">
        <f t="shared" si="5"/>
        <v>#N/A</v>
      </c>
      <c r="BI10" t="e">
        <f t="shared" si="5"/>
        <v>#N/A</v>
      </c>
      <c r="BJ10" t="e">
        <f t="shared" si="5"/>
        <v>#N/A</v>
      </c>
      <c r="BK10" t="e">
        <f t="shared" si="6"/>
        <v>#N/A</v>
      </c>
      <c r="BL10" t="e">
        <f t="shared" si="6"/>
        <v>#N/A</v>
      </c>
      <c r="BM10" t="e">
        <f t="shared" si="6"/>
        <v>#N/A</v>
      </c>
      <c r="BN10" t="e">
        <f t="shared" si="6"/>
        <v>#N/A</v>
      </c>
      <c r="BO10" t="e">
        <f t="shared" si="6"/>
        <v>#N/A</v>
      </c>
      <c r="BP10" t="e">
        <f t="shared" si="6"/>
        <v>#N/A</v>
      </c>
      <c r="BQ10" t="e">
        <f t="shared" si="6"/>
        <v>#N/A</v>
      </c>
      <c r="BR10" t="e">
        <f t="shared" si="6"/>
        <v>#N/A</v>
      </c>
      <c r="BS10" t="e">
        <f t="shared" si="6"/>
        <v>#N/A</v>
      </c>
      <c r="BT10" t="e">
        <f t="shared" si="6"/>
        <v>#N/A</v>
      </c>
      <c r="BU10" t="e">
        <f t="shared" si="7"/>
        <v>#N/A</v>
      </c>
      <c r="BV10" t="e">
        <f t="shared" si="7"/>
        <v>#N/A</v>
      </c>
      <c r="BW10" t="e">
        <f t="shared" si="7"/>
        <v>#N/A</v>
      </c>
      <c r="BX10" t="e">
        <f t="shared" si="7"/>
        <v>#N/A</v>
      </c>
      <c r="BY10" t="e">
        <f t="shared" si="7"/>
        <v>#N/A</v>
      </c>
      <c r="BZ10" t="e">
        <f t="shared" si="7"/>
        <v>#N/A</v>
      </c>
      <c r="CA10" t="e">
        <f t="shared" si="7"/>
        <v>#N/A</v>
      </c>
      <c r="CB10" t="e">
        <f t="shared" si="7"/>
        <v>#N/A</v>
      </c>
      <c r="CC10" t="e">
        <f t="shared" si="7"/>
        <v>#N/A</v>
      </c>
      <c r="CD10" t="e">
        <f t="shared" si="7"/>
        <v>#N/A</v>
      </c>
      <c r="CE10" t="e">
        <f t="shared" si="7"/>
        <v>#N/A</v>
      </c>
      <c r="CF10" t="e">
        <f t="shared" si="7"/>
        <v>#N/A</v>
      </c>
      <c r="CG10" t="e">
        <f t="shared" si="7"/>
        <v>#N/A</v>
      </c>
      <c r="CH10" t="e">
        <f t="shared" si="8"/>
        <v>#N/A</v>
      </c>
      <c r="CI10" t="e">
        <f t="shared" si="8"/>
        <v>#N/A</v>
      </c>
      <c r="CJ10" t="e">
        <f t="shared" si="8"/>
        <v>#N/A</v>
      </c>
      <c r="CK10" t="e">
        <f t="shared" si="8"/>
        <v>#N/A</v>
      </c>
      <c r="CL10" t="e">
        <f t="shared" si="8"/>
        <v>#N/A</v>
      </c>
      <c r="CM10" t="e">
        <f t="shared" si="8"/>
        <v>#N/A</v>
      </c>
    </row>
    <row r="11" spans="1:91">
      <c r="B11" s="6">
        <f>入力欄!C11</f>
        <v>0</v>
      </c>
      <c r="C11" t="e">
        <f t="shared" si="0"/>
        <v>#N/A</v>
      </c>
      <c r="D11" t="e">
        <f t="shared" si="0"/>
        <v>#N/A</v>
      </c>
      <c r="E11" t="e">
        <f t="shared" si="0"/>
        <v>#N/A</v>
      </c>
      <c r="F11" t="e">
        <f t="shared" si="0"/>
        <v>#N/A</v>
      </c>
      <c r="G11" t="e">
        <f t="shared" si="0"/>
        <v>#N/A</v>
      </c>
      <c r="H11" t="e">
        <f t="shared" si="0"/>
        <v>#N/A</v>
      </c>
      <c r="I11" t="e">
        <f t="shared" si="0"/>
        <v>#N/A</v>
      </c>
      <c r="J11" t="e">
        <f t="shared" si="0"/>
        <v>#N/A</v>
      </c>
      <c r="K11" t="e">
        <f t="shared" si="0"/>
        <v>#N/A</v>
      </c>
      <c r="L11" t="e">
        <f t="shared" si="0"/>
        <v>#N/A</v>
      </c>
      <c r="M11" t="e">
        <f t="shared" si="1"/>
        <v>#N/A</v>
      </c>
      <c r="N11" t="e">
        <f t="shared" si="1"/>
        <v>#N/A</v>
      </c>
      <c r="O11" t="e">
        <f t="shared" si="1"/>
        <v>#N/A</v>
      </c>
      <c r="P11" t="e">
        <f t="shared" si="1"/>
        <v>#N/A</v>
      </c>
      <c r="Q11" t="e">
        <f t="shared" si="1"/>
        <v>#N/A</v>
      </c>
      <c r="R11" t="e">
        <f t="shared" si="1"/>
        <v>#N/A</v>
      </c>
      <c r="S11" t="e">
        <f t="shared" si="1"/>
        <v>#N/A</v>
      </c>
      <c r="T11" t="e">
        <f t="shared" si="1"/>
        <v>#N/A</v>
      </c>
      <c r="U11" t="e">
        <f t="shared" si="1"/>
        <v>#N/A</v>
      </c>
      <c r="V11" t="e">
        <f t="shared" si="1"/>
        <v>#N/A</v>
      </c>
      <c r="W11" t="e">
        <f t="shared" si="2"/>
        <v>#N/A</v>
      </c>
      <c r="X11" t="e">
        <f t="shared" si="2"/>
        <v>#N/A</v>
      </c>
      <c r="Y11" t="e">
        <f t="shared" si="2"/>
        <v>#N/A</v>
      </c>
      <c r="Z11" t="e">
        <f t="shared" si="2"/>
        <v>#N/A</v>
      </c>
      <c r="AA11" t="e">
        <f t="shared" si="2"/>
        <v>#N/A</v>
      </c>
      <c r="AB11" t="e">
        <f t="shared" si="2"/>
        <v>#N/A</v>
      </c>
      <c r="AC11" t="e">
        <f t="shared" si="2"/>
        <v>#N/A</v>
      </c>
      <c r="AD11" t="e">
        <f t="shared" si="2"/>
        <v>#N/A</v>
      </c>
      <c r="AE11" t="e">
        <f t="shared" si="2"/>
        <v>#N/A</v>
      </c>
      <c r="AF11" t="e">
        <f t="shared" si="2"/>
        <v>#N/A</v>
      </c>
      <c r="AG11" t="e">
        <f t="shared" si="3"/>
        <v>#N/A</v>
      </c>
      <c r="AH11" t="e">
        <f t="shared" si="3"/>
        <v>#N/A</v>
      </c>
      <c r="AI11" t="e">
        <f t="shared" si="3"/>
        <v>#N/A</v>
      </c>
      <c r="AJ11" t="e">
        <f t="shared" si="3"/>
        <v>#N/A</v>
      </c>
      <c r="AK11" t="e">
        <f t="shared" si="3"/>
        <v>#N/A</v>
      </c>
      <c r="AL11" t="e">
        <f t="shared" si="3"/>
        <v>#N/A</v>
      </c>
      <c r="AM11" t="e">
        <f t="shared" si="3"/>
        <v>#N/A</v>
      </c>
      <c r="AN11" t="e">
        <f t="shared" si="3"/>
        <v>#N/A</v>
      </c>
      <c r="AO11" t="e">
        <f t="shared" si="3"/>
        <v>#N/A</v>
      </c>
      <c r="AP11" t="e">
        <f t="shared" si="3"/>
        <v>#N/A</v>
      </c>
      <c r="AQ11" t="e">
        <f t="shared" si="4"/>
        <v>#N/A</v>
      </c>
      <c r="AR11" t="e">
        <f t="shared" si="4"/>
        <v>#N/A</v>
      </c>
      <c r="AS11" t="e">
        <f t="shared" si="4"/>
        <v>#N/A</v>
      </c>
      <c r="AT11" t="e">
        <f t="shared" si="4"/>
        <v>#N/A</v>
      </c>
      <c r="AU11" t="e">
        <f t="shared" si="4"/>
        <v>#N/A</v>
      </c>
      <c r="AV11" t="e">
        <f t="shared" si="4"/>
        <v>#N/A</v>
      </c>
      <c r="AW11" t="e">
        <f t="shared" si="4"/>
        <v>#N/A</v>
      </c>
      <c r="AX11" t="e">
        <f t="shared" si="4"/>
        <v>#N/A</v>
      </c>
      <c r="AY11" t="e">
        <f t="shared" si="4"/>
        <v>#N/A</v>
      </c>
      <c r="AZ11" t="e">
        <f t="shared" si="4"/>
        <v>#N/A</v>
      </c>
      <c r="BA11" t="e">
        <f t="shared" si="5"/>
        <v>#N/A</v>
      </c>
      <c r="BB11" t="e">
        <f t="shared" si="5"/>
        <v>#N/A</v>
      </c>
      <c r="BC11" t="e">
        <f t="shared" si="5"/>
        <v>#N/A</v>
      </c>
      <c r="BD11" t="e">
        <f t="shared" si="5"/>
        <v>#N/A</v>
      </c>
      <c r="BE11" t="e">
        <f t="shared" si="5"/>
        <v>#N/A</v>
      </c>
      <c r="BF11" t="e">
        <f t="shared" si="5"/>
        <v>#N/A</v>
      </c>
      <c r="BG11" t="e">
        <f t="shared" si="5"/>
        <v>#N/A</v>
      </c>
      <c r="BH11" t="e">
        <f t="shared" si="5"/>
        <v>#N/A</v>
      </c>
      <c r="BI11" t="e">
        <f t="shared" si="5"/>
        <v>#N/A</v>
      </c>
      <c r="BJ11" t="e">
        <f t="shared" si="5"/>
        <v>#N/A</v>
      </c>
      <c r="BK11" t="e">
        <f t="shared" si="6"/>
        <v>#N/A</v>
      </c>
      <c r="BL11" t="e">
        <f t="shared" si="6"/>
        <v>#N/A</v>
      </c>
      <c r="BM11" t="e">
        <f t="shared" si="6"/>
        <v>#N/A</v>
      </c>
      <c r="BN11" t="e">
        <f t="shared" si="6"/>
        <v>#N/A</v>
      </c>
      <c r="BO11" t="e">
        <f t="shared" si="6"/>
        <v>#N/A</v>
      </c>
      <c r="BP11" t="e">
        <f t="shared" si="6"/>
        <v>#N/A</v>
      </c>
      <c r="BQ11" t="e">
        <f t="shared" si="6"/>
        <v>#N/A</v>
      </c>
      <c r="BR11" t="e">
        <f t="shared" si="6"/>
        <v>#N/A</v>
      </c>
      <c r="BS11" t="e">
        <f t="shared" si="6"/>
        <v>#N/A</v>
      </c>
      <c r="BT11" t="e">
        <f t="shared" si="6"/>
        <v>#N/A</v>
      </c>
      <c r="BU11" t="e">
        <f t="shared" si="7"/>
        <v>#N/A</v>
      </c>
      <c r="BV11" t="e">
        <f t="shared" si="7"/>
        <v>#N/A</v>
      </c>
      <c r="BW11" t="e">
        <f t="shared" si="7"/>
        <v>#N/A</v>
      </c>
      <c r="BX11" t="e">
        <f t="shared" si="7"/>
        <v>#N/A</v>
      </c>
      <c r="BY11" t="e">
        <f t="shared" si="7"/>
        <v>#N/A</v>
      </c>
      <c r="BZ11" t="e">
        <f t="shared" si="7"/>
        <v>#N/A</v>
      </c>
      <c r="CA11" t="e">
        <f t="shared" si="7"/>
        <v>#N/A</v>
      </c>
      <c r="CB11" t="e">
        <f t="shared" si="7"/>
        <v>#N/A</v>
      </c>
      <c r="CC11" t="e">
        <f t="shared" si="7"/>
        <v>#N/A</v>
      </c>
      <c r="CD11" t="e">
        <f t="shared" si="7"/>
        <v>#N/A</v>
      </c>
      <c r="CE11" t="e">
        <f t="shared" si="7"/>
        <v>#N/A</v>
      </c>
      <c r="CF11" t="e">
        <f t="shared" si="7"/>
        <v>#N/A</v>
      </c>
      <c r="CG11" t="e">
        <f t="shared" si="7"/>
        <v>#N/A</v>
      </c>
      <c r="CH11" t="e">
        <f t="shared" si="8"/>
        <v>#N/A</v>
      </c>
      <c r="CI11" t="e">
        <f t="shared" si="8"/>
        <v>#N/A</v>
      </c>
      <c r="CJ11" t="e">
        <f t="shared" si="8"/>
        <v>#N/A</v>
      </c>
      <c r="CK11" t="e">
        <f t="shared" si="8"/>
        <v>#N/A</v>
      </c>
      <c r="CL11" t="e">
        <f t="shared" si="8"/>
        <v>#N/A</v>
      </c>
      <c r="CM11" t="e">
        <f t="shared" si="8"/>
        <v>#N/A</v>
      </c>
    </row>
    <row r="12" spans="1:91">
      <c r="B12" s="6">
        <f>入力欄!C13</f>
        <v>0</v>
      </c>
      <c r="C12" t="e">
        <f t="shared" si="0"/>
        <v>#N/A</v>
      </c>
      <c r="D12" t="e">
        <f t="shared" si="0"/>
        <v>#N/A</v>
      </c>
      <c r="E12" t="e">
        <f t="shared" si="0"/>
        <v>#N/A</v>
      </c>
      <c r="F12" t="e">
        <f t="shared" si="0"/>
        <v>#N/A</v>
      </c>
      <c r="G12" t="e">
        <f t="shared" si="0"/>
        <v>#N/A</v>
      </c>
      <c r="H12" t="e">
        <f t="shared" si="0"/>
        <v>#N/A</v>
      </c>
      <c r="I12" t="e">
        <f t="shared" si="0"/>
        <v>#N/A</v>
      </c>
      <c r="J12" t="e">
        <f t="shared" si="0"/>
        <v>#N/A</v>
      </c>
      <c r="K12" t="e">
        <f t="shared" si="0"/>
        <v>#N/A</v>
      </c>
      <c r="L12" t="e">
        <f t="shared" si="0"/>
        <v>#N/A</v>
      </c>
      <c r="M12" t="e">
        <f t="shared" si="1"/>
        <v>#N/A</v>
      </c>
      <c r="N12" t="e">
        <f t="shared" si="1"/>
        <v>#N/A</v>
      </c>
      <c r="O12" t="e">
        <f t="shared" si="1"/>
        <v>#N/A</v>
      </c>
      <c r="P12" t="e">
        <f t="shared" si="1"/>
        <v>#N/A</v>
      </c>
      <c r="Q12" t="e">
        <f t="shared" si="1"/>
        <v>#N/A</v>
      </c>
      <c r="R12" t="e">
        <f t="shared" si="1"/>
        <v>#N/A</v>
      </c>
      <c r="S12" t="e">
        <f t="shared" si="1"/>
        <v>#N/A</v>
      </c>
      <c r="T12" t="e">
        <f t="shared" si="1"/>
        <v>#N/A</v>
      </c>
      <c r="U12" t="e">
        <f t="shared" si="1"/>
        <v>#N/A</v>
      </c>
      <c r="V12" t="e">
        <f t="shared" si="1"/>
        <v>#N/A</v>
      </c>
      <c r="W12" t="e">
        <f t="shared" si="2"/>
        <v>#N/A</v>
      </c>
      <c r="X12" t="e">
        <f t="shared" si="2"/>
        <v>#N/A</v>
      </c>
      <c r="Y12" t="e">
        <f t="shared" si="2"/>
        <v>#N/A</v>
      </c>
      <c r="Z12" t="e">
        <f t="shared" si="2"/>
        <v>#N/A</v>
      </c>
      <c r="AA12" t="e">
        <f t="shared" si="2"/>
        <v>#N/A</v>
      </c>
      <c r="AB12" t="e">
        <f t="shared" si="2"/>
        <v>#N/A</v>
      </c>
      <c r="AC12" t="e">
        <f t="shared" si="2"/>
        <v>#N/A</v>
      </c>
      <c r="AD12" t="e">
        <f t="shared" si="2"/>
        <v>#N/A</v>
      </c>
      <c r="AE12" t="e">
        <f t="shared" si="2"/>
        <v>#N/A</v>
      </c>
      <c r="AF12" t="e">
        <f t="shared" si="2"/>
        <v>#N/A</v>
      </c>
      <c r="AG12" t="e">
        <f t="shared" si="3"/>
        <v>#N/A</v>
      </c>
      <c r="AH12" t="e">
        <f t="shared" si="3"/>
        <v>#N/A</v>
      </c>
      <c r="AI12" t="e">
        <f t="shared" si="3"/>
        <v>#N/A</v>
      </c>
      <c r="AJ12" t="e">
        <f t="shared" si="3"/>
        <v>#N/A</v>
      </c>
      <c r="AK12" t="e">
        <f t="shared" si="3"/>
        <v>#N/A</v>
      </c>
      <c r="AL12" t="e">
        <f t="shared" si="3"/>
        <v>#N/A</v>
      </c>
      <c r="AM12" t="e">
        <f t="shared" si="3"/>
        <v>#N/A</v>
      </c>
      <c r="AN12" t="e">
        <f t="shared" si="3"/>
        <v>#N/A</v>
      </c>
      <c r="AO12" t="e">
        <f t="shared" si="3"/>
        <v>#N/A</v>
      </c>
      <c r="AP12" t="e">
        <f t="shared" si="3"/>
        <v>#N/A</v>
      </c>
      <c r="AQ12" t="e">
        <f t="shared" si="4"/>
        <v>#N/A</v>
      </c>
      <c r="AR12" t="e">
        <f t="shared" si="4"/>
        <v>#N/A</v>
      </c>
      <c r="AS12" t="e">
        <f t="shared" si="4"/>
        <v>#N/A</v>
      </c>
      <c r="AT12" t="e">
        <f t="shared" si="4"/>
        <v>#N/A</v>
      </c>
      <c r="AU12" t="e">
        <f t="shared" si="4"/>
        <v>#N/A</v>
      </c>
      <c r="AV12" t="e">
        <f t="shared" si="4"/>
        <v>#N/A</v>
      </c>
      <c r="AW12" t="e">
        <f t="shared" si="4"/>
        <v>#N/A</v>
      </c>
      <c r="AX12" t="e">
        <f t="shared" si="4"/>
        <v>#N/A</v>
      </c>
      <c r="AY12" t="e">
        <f t="shared" si="4"/>
        <v>#N/A</v>
      </c>
      <c r="AZ12" t="e">
        <f t="shared" si="4"/>
        <v>#N/A</v>
      </c>
      <c r="BA12" t="e">
        <f t="shared" si="5"/>
        <v>#N/A</v>
      </c>
      <c r="BB12" t="e">
        <f t="shared" si="5"/>
        <v>#N/A</v>
      </c>
      <c r="BC12" t="e">
        <f t="shared" si="5"/>
        <v>#N/A</v>
      </c>
      <c r="BD12" t="e">
        <f t="shared" si="5"/>
        <v>#N/A</v>
      </c>
      <c r="BE12" t="e">
        <f t="shared" si="5"/>
        <v>#N/A</v>
      </c>
      <c r="BF12" t="e">
        <f t="shared" si="5"/>
        <v>#N/A</v>
      </c>
      <c r="BG12" t="e">
        <f t="shared" si="5"/>
        <v>#N/A</v>
      </c>
      <c r="BH12" t="e">
        <f t="shared" si="5"/>
        <v>#N/A</v>
      </c>
      <c r="BI12" t="e">
        <f t="shared" si="5"/>
        <v>#N/A</v>
      </c>
      <c r="BJ12" t="e">
        <f t="shared" si="5"/>
        <v>#N/A</v>
      </c>
      <c r="BK12" t="e">
        <f t="shared" si="6"/>
        <v>#N/A</v>
      </c>
      <c r="BL12" t="e">
        <f t="shared" si="6"/>
        <v>#N/A</v>
      </c>
      <c r="BM12" t="e">
        <f t="shared" si="6"/>
        <v>#N/A</v>
      </c>
      <c r="BN12" t="e">
        <f t="shared" si="6"/>
        <v>#N/A</v>
      </c>
      <c r="BO12" t="e">
        <f t="shared" si="6"/>
        <v>#N/A</v>
      </c>
      <c r="BP12" t="e">
        <f t="shared" si="6"/>
        <v>#N/A</v>
      </c>
      <c r="BQ12" t="e">
        <f t="shared" si="6"/>
        <v>#N/A</v>
      </c>
      <c r="BR12" t="e">
        <f t="shared" si="6"/>
        <v>#N/A</v>
      </c>
      <c r="BS12" t="e">
        <f t="shared" si="6"/>
        <v>#N/A</v>
      </c>
      <c r="BT12" t="e">
        <f t="shared" si="6"/>
        <v>#N/A</v>
      </c>
      <c r="BU12" t="e">
        <f t="shared" si="7"/>
        <v>#N/A</v>
      </c>
      <c r="BV12" t="e">
        <f t="shared" si="7"/>
        <v>#N/A</v>
      </c>
      <c r="BW12" t="e">
        <f t="shared" si="7"/>
        <v>#N/A</v>
      </c>
      <c r="BX12" t="e">
        <f t="shared" si="7"/>
        <v>#N/A</v>
      </c>
      <c r="BY12" t="e">
        <f t="shared" si="7"/>
        <v>#N/A</v>
      </c>
      <c r="BZ12" t="e">
        <f t="shared" si="7"/>
        <v>#N/A</v>
      </c>
      <c r="CA12" t="e">
        <f t="shared" si="7"/>
        <v>#N/A</v>
      </c>
      <c r="CB12" t="e">
        <f t="shared" si="7"/>
        <v>#N/A</v>
      </c>
      <c r="CC12" t="e">
        <f t="shared" si="7"/>
        <v>#N/A</v>
      </c>
      <c r="CD12" t="e">
        <f t="shared" si="7"/>
        <v>#N/A</v>
      </c>
      <c r="CE12" t="e">
        <f t="shared" si="7"/>
        <v>#N/A</v>
      </c>
      <c r="CF12" t="e">
        <f t="shared" si="7"/>
        <v>#N/A</v>
      </c>
      <c r="CG12" t="e">
        <f t="shared" si="7"/>
        <v>#N/A</v>
      </c>
      <c r="CH12" t="e">
        <f t="shared" si="8"/>
        <v>#N/A</v>
      </c>
      <c r="CI12" t="e">
        <f t="shared" si="8"/>
        <v>#N/A</v>
      </c>
      <c r="CJ12" t="e">
        <f t="shared" si="8"/>
        <v>#N/A</v>
      </c>
      <c r="CK12" t="e">
        <f t="shared" si="8"/>
        <v>#N/A</v>
      </c>
      <c r="CL12" t="e">
        <f t="shared" si="8"/>
        <v>#N/A</v>
      </c>
      <c r="CM12" t="e">
        <f t="shared" si="8"/>
        <v>#N/A</v>
      </c>
    </row>
    <row r="13" spans="1:91">
      <c r="B13" s="6">
        <f>入力欄!C14</f>
        <v>0</v>
      </c>
      <c r="C13" t="e">
        <f t="shared" si="0"/>
        <v>#N/A</v>
      </c>
      <c r="D13" t="e">
        <f t="shared" si="0"/>
        <v>#N/A</v>
      </c>
      <c r="E13" t="e">
        <f t="shared" si="0"/>
        <v>#N/A</v>
      </c>
      <c r="F13" t="e">
        <f t="shared" si="0"/>
        <v>#N/A</v>
      </c>
      <c r="G13" t="e">
        <f t="shared" si="0"/>
        <v>#N/A</v>
      </c>
      <c r="H13" t="e">
        <f t="shared" si="0"/>
        <v>#N/A</v>
      </c>
      <c r="I13" t="e">
        <f t="shared" si="0"/>
        <v>#N/A</v>
      </c>
      <c r="J13" t="e">
        <f t="shared" si="0"/>
        <v>#N/A</v>
      </c>
      <c r="K13" t="e">
        <f t="shared" si="0"/>
        <v>#N/A</v>
      </c>
      <c r="L13" t="e">
        <f t="shared" si="0"/>
        <v>#N/A</v>
      </c>
      <c r="M13" t="e">
        <f t="shared" si="1"/>
        <v>#N/A</v>
      </c>
      <c r="N13" t="e">
        <f t="shared" si="1"/>
        <v>#N/A</v>
      </c>
      <c r="O13" t="e">
        <f t="shared" si="1"/>
        <v>#N/A</v>
      </c>
      <c r="P13" t="e">
        <f t="shared" si="1"/>
        <v>#N/A</v>
      </c>
      <c r="Q13" t="e">
        <f t="shared" si="1"/>
        <v>#N/A</v>
      </c>
      <c r="R13" t="e">
        <f t="shared" si="1"/>
        <v>#N/A</v>
      </c>
      <c r="S13" t="e">
        <f t="shared" si="1"/>
        <v>#N/A</v>
      </c>
      <c r="T13" t="e">
        <f t="shared" si="1"/>
        <v>#N/A</v>
      </c>
      <c r="U13" t="e">
        <f t="shared" si="1"/>
        <v>#N/A</v>
      </c>
      <c r="V13" t="e">
        <f t="shared" si="1"/>
        <v>#N/A</v>
      </c>
      <c r="W13" t="e">
        <f t="shared" si="2"/>
        <v>#N/A</v>
      </c>
      <c r="X13" t="e">
        <f t="shared" si="2"/>
        <v>#N/A</v>
      </c>
      <c r="Y13" t="e">
        <f t="shared" si="2"/>
        <v>#N/A</v>
      </c>
      <c r="Z13" t="e">
        <f t="shared" si="2"/>
        <v>#N/A</v>
      </c>
      <c r="AA13" t="e">
        <f t="shared" si="2"/>
        <v>#N/A</v>
      </c>
      <c r="AB13" t="e">
        <f t="shared" si="2"/>
        <v>#N/A</v>
      </c>
      <c r="AC13" t="e">
        <f t="shared" si="2"/>
        <v>#N/A</v>
      </c>
      <c r="AD13" t="e">
        <f t="shared" si="2"/>
        <v>#N/A</v>
      </c>
      <c r="AE13" t="e">
        <f t="shared" si="2"/>
        <v>#N/A</v>
      </c>
      <c r="AF13" t="e">
        <f t="shared" si="2"/>
        <v>#N/A</v>
      </c>
      <c r="AG13" t="e">
        <f t="shared" si="3"/>
        <v>#N/A</v>
      </c>
      <c r="AH13" t="e">
        <f t="shared" si="3"/>
        <v>#N/A</v>
      </c>
      <c r="AI13" t="e">
        <f t="shared" si="3"/>
        <v>#N/A</v>
      </c>
      <c r="AJ13" t="e">
        <f t="shared" si="3"/>
        <v>#N/A</v>
      </c>
      <c r="AK13" t="e">
        <f t="shared" si="3"/>
        <v>#N/A</v>
      </c>
      <c r="AL13" t="e">
        <f t="shared" si="3"/>
        <v>#N/A</v>
      </c>
      <c r="AM13" t="e">
        <f t="shared" si="3"/>
        <v>#N/A</v>
      </c>
      <c r="AN13" t="e">
        <f t="shared" si="3"/>
        <v>#N/A</v>
      </c>
      <c r="AO13" t="e">
        <f t="shared" si="3"/>
        <v>#N/A</v>
      </c>
      <c r="AP13" t="e">
        <f t="shared" si="3"/>
        <v>#N/A</v>
      </c>
      <c r="AQ13" t="e">
        <f t="shared" si="4"/>
        <v>#N/A</v>
      </c>
      <c r="AR13" t="e">
        <f t="shared" si="4"/>
        <v>#N/A</v>
      </c>
      <c r="AS13" t="e">
        <f t="shared" si="4"/>
        <v>#N/A</v>
      </c>
      <c r="AT13" t="e">
        <f t="shared" si="4"/>
        <v>#N/A</v>
      </c>
      <c r="AU13" t="e">
        <f t="shared" si="4"/>
        <v>#N/A</v>
      </c>
      <c r="AV13" t="e">
        <f t="shared" si="4"/>
        <v>#N/A</v>
      </c>
      <c r="AW13" t="e">
        <f t="shared" si="4"/>
        <v>#N/A</v>
      </c>
      <c r="AX13" t="e">
        <f t="shared" si="4"/>
        <v>#N/A</v>
      </c>
      <c r="AY13" t="e">
        <f t="shared" si="4"/>
        <v>#N/A</v>
      </c>
      <c r="AZ13" t="e">
        <f t="shared" si="4"/>
        <v>#N/A</v>
      </c>
      <c r="BA13" t="e">
        <f t="shared" si="5"/>
        <v>#N/A</v>
      </c>
      <c r="BB13" t="e">
        <f t="shared" si="5"/>
        <v>#N/A</v>
      </c>
      <c r="BC13" t="e">
        <f t="shared" si="5"/>
        <v>#N/A</v>
      </c>
      <c r="BD13" t="e">
        <f t="shared" si="5"/>
        <v>#N/A</v>
      </c>
      <c r="BE13" t="e">
        <f t="shared" si="5"/>
        <v>#N/A</v>
      </c>
      <c r="BF13" t="e">
        <f t="shared" si="5"/>
        <v>#N/A</v>
      </c>
      <c r="BG13" t="e">
        <f t="shared" si="5"/>
        <v>#N/A</v>
      </c>
      <c r="BH13" t="e">
        <f t="shared" si="5"/>
        <v>#N/A</v>
      </c>
      <c r="BI13" t="e">
        <f t="shared" si="5"/>
        <v>#N/A</v>
      </c>
      <c r="BJ13" t="e">
        <f t="shared" si="5"/>
        <v>#N/A</v>
      </c>
      <c r="BK13" t="e">
        <f t="shared" si="6"/>
        <v>#N/A</v>
      </c>
      <c r="BL13" t="e">
        <f t="shared" si="6"/>
        <v>#N/A</v>
      </c>
      <c r="BM13" t="e">
        <f t="shared" si="6"/>
        <v>#N/A</v>
      </c>
      <c r="BN13" t="e">
        <f t="shared" si="6"/>
        <v>#N/A</v>
      </c>
      <c r="BO13" t="e">
        <f t="shared" si="6"/>
        <v>#N/A</v>
      </c>
      <c r="BP13" t="e">
        <f t="shared" si="6"/>
        <v>#N/A</v>
      </c>
      <c r="BQ13" t="e">
        <f t="shared" si="6"/>
        <v>#N/A</v>
      </c>
      <c r="BR13" t="e">
        <f t="shared" si="6"/>
        <v>#N/A</v>
      </c>
      <c r="BS13" t="e">
        <f t="shared" si="6"/>
        <v>#N/A</v>
      </c>
      <c r="BT13" t="e">
        <f t="shared" si="6"/>
        <v>#N/A</v>
      </c>
      <c r="BU13" t="e">
        <f t="shared" si="7"/>
        <v>#N/A</v>
      </c>
      <c r="BV13" t="e">
        <f t="shared" si="7"/>
        <v>#N/A</v>
      </c>
      <c r="BW13" t="e">
        <f t="shared" si="7"/>
        <v>#N/A</v>
      </c>
      <c r="BX13" t="e">
        <f t="shared" si="7"/>
        <v>#N/A</v>
      </c>
      <c r="BY13" t="e">
        <f t="shared" si="7"/>
        <v>#N/A</v>
      </c>
      <c r="BZ13" t="e">
        <f t="shared" si="7"/>
        <v>#N/A</v>
      </c>
      <c r="CA13" t="e">
        <f t="shared" si="7"/>
        <v>#N/A</v>
      </c>
      <c r="CB13" t="e">
        <f t="shared" si="7"/>
        <v>#N/A</v>
      </c>
      <c r="CC13" t="e">
        <f t="shared" si="7"/>
        <v>#N/A</v>
      </c>
      <c r="CD13" t="e">
        <f t="shared" si="7"/>
        <v>#N/A</v>
      </c>
      <c r="CE13" t="e">
        <f t="shared" si="7"/>
        <v>#N/A</v>
      </c>
      <c r="CF13" t="e">
        <f t="shared" si="7"/>
        <v>#N/A</v>
      </c>
      <c r="CG13" t="e">
        <f t="shared" si="7"/>
        <v>#N/A</v>
      </c>
      <c r="CH13" t="e">
        <f t="shared" si="8"/>
        <v>#N/A</v>
      </c>
      <c r="CI13" t="e">
        <f t="shared" si="8"/>
        <v>#N/A</v>
      </c>
      <c r="CJ13" t="e">
        <f t="shared" si="8"/>
        <v>#N/A</v>
      </c>
      <c r="CK13" t="e">
        <f t="shared" si="8"/>
        <v>#N/A</v>
      </c>
      <c r="CL13" t="e">
        <f t="shared" si="8"/>
        <v>#N/A</v>
      </c>
      <c r="CM13" t="e">
        <f t="shared" si="8"/>
        <v>#N/A</v>
      </c>
    </row>
    <row r="14" spans="1:91">
      <c r="B14" s="6">
        <f>入力欄!C15</f>
        <v>0</v>
      </c>
      <c r="C14" t="e">
        <f t="shared" si="0"/>
        <v>#N/A</v>
      </c>
      <c r="D14" t="e">
        <f t="shared" si="0"/>
        <v>#N/A</v>
      </c>
      <c r="E14" t="e">
        <f t="shared" si="0"/>
        <v>#N/A</v>
      </c>
      <c r="F14" t="e">
        <f t="shared" si="0"/>
        <v>#N/A</v>
      </c>
      <c r="G14" t="e">
        <f t="shared" si="0"/>
        <v>#N/A</v>
      </c>
      <c r="H14" t="e">
        <f t="shared" si="0"/>
        <v>#N/A</v>
      </c>
      <c r="I14" t="e">
        <f t="shared" si="0"/>
        <v>#N/A</v>
      </c>
      <c r="J14" t="e">
        <f t="shared" si="0"/>
        <v>#N/A</v>
      </c>
      <c r="K14" t="e">
        <f t="shared" si="0"/>
        <v>#N/A</v>
      </c>
      <c r="L14" t="e">
        <f t="shared" si="0"/>
        <v>#N/A</v>
      </c>
      <c r="M14" t="e">
        <f t="shared" si="1"/>
        <v>#N/A</v>
      </c>
      <c r="N14" t="e">
        <f t="shared" si="1"/>
        <v>#N/A</v>
      </c>
      <c r="O14" t="e">
        <f t="shared" si="1"/>
        <v>#N/A</v>
      </c>
      <c r="P14" t="e">
        <f t="shared" si="1"/>
        <v>#N/A</v>
      </c>
      <c r="Q14" t="e">
        <f t="shared" si="1"/>
        <v>#N/A</v>
      </c>
      <c r="R14" t="e">
        <f t="shared" si="1"/>
        <v>#N/A</v>
      </c>
      <c r="S14" t="e">
        <f t="shared" si="1"/>
        <v>#N/A</v>
      </c>
      <c r="T14" t="e">
        <f t="shared" si="1"/>
        <v>#N/A</v>
      </c>
      <c r="U14" t="e">
        <f t="shared" si="1"/>
        <v>#N/A</v>
      </c>
      <c r="V14" t="e">
        <f t="shared" si="1"/>
        <v>#N/A</v>
      </c>
      <c r="W14" t="e">
        <f t="shared" si="2"/>
        <v>#N/A</v>
      </c>
      <c r="X14" t="e">
        <f t="shared" si="2"/>
        <v>#N/A</v>
      </c>
      <c r="Y14" t="e">
        <f t="shared" si="2"/>
        <v>#N/A</v>
      </c>
      <c r="Z14" t="e">
        <f t="shared" si="2"/>
        <v>#N/A</v>
      </c>
      <c r="AA14" t="e">
        <f t="shared" si="2"/>
        <v>#N/A</v>
      </c>
      <c r="AB14" t="e">
        <f t="shared" si="2"/>
        <v>#N/A</v>
      </c>
      <c r="AC14" t="e">
        <f t="shared" si="2"/>
        <v>#N/A</v>
      </c>
      <c r="AD14" t="e">
        <f t="shared" si="2"/>
        <v>#N/A</v>
      </c>
      <c r="AE14" t="e">
        <f t="shared" si="2"/>
        <v>#N/A</v>
      </c>
      <c r="AF14" t="e">
        <f t="shared" si="2"/>
        <v>#N/A</v>
      </c>
      <c r="AG14" t="e">
        <f t="shared" si="3"/>
        <v>#N/A</v>
      </c>
      <c r="AH14" t="e">
        <f t="shared" si="3"/>
        <v>#N/A</v>
      </c>
      <c r="AI14" t="e">
        <f t="shared" si="3"/>
        <v>#N/A</v>
      </c>
      <c r="AJ14" t="e">
        <f t="shared" si="3"/>
        <v>#N/A</v>
      </c>
      <c r="AK14" t="e">
        <f t="shared" si="3"/>
        <v>#N/A</v>
      </c>
      <c r="AL14" t="e">
        <f t="shared" si="3"/>
        <v>#N/A</v>
      </c>
      <c r="AM14" t="e">
        <f t="shared" si="3"/>
        <v>#N/A</v>
      </c>
      <c r="AN14" t="e">
        <f t="shared" si="3"/>
        <v>#N/A</v>
      </c>
      <c r="AO14" t="e">
        <f t="shared" si="3"/>
        <v>#N/A</v>
      </c>
      <c r="AP14" t="e">
        <f t="shared" si="3"/>
        <v>#N/A</v>
      </c>
      <c r="AQ14" t="e">
        <f t="shared" si="4"/>
        <v>#N/A</v>
      </c>
      <c r="AR14" t="e">
        <f t="shared" si="4"/>
        <v>#N/A</v>
      </c>
      <c r="AS14" t="e">
        <f t="shared" si="4"/>
        <v>#N/A</v>
      </c>
      <c r="AT14" t="e">
        <f t="shared" si="4"/>
        <v>#N/A</v>
      </c>
      <c r="AU14" t="e">
        <f t="shared" si="4"/>
        <v>#N/A</v>
      </c>
      <c r="AV14" t="e">
        <f t="shared" si="4"/>
        <v>#N/A</v>
      </c>
      <c r="AW14" t="e">
        <f t="shared" si="4"/>
        <v>#N/A</v>
      </c>
      <c r="AX14" t="e">
        <f t="shared" si="4"/>
        <v>#N/A</v>
      </c>
      <c r="AY14" t="e">
        <f t="shared" si="4"/>
        <v>#N/A</v>
      </c>
      <c r="AZ14" t="e">
        <f t="shared" si="4"/>
        <v>#N/A</v>
      </c>
      <c r="BA14" t="e">
        <f t="shared" si="5"/>
        <v>#N/A</v>
      </c>
      <c r="BB14" t="e">
        <f t="shared" si="5"/>
        <v>#N/A</v>
      </c>
      <c r="BC14" t="e">
        <f t="shared" si="5"/>
        <v>#N/A</v>
      </c>
      <c r="BD14" t="e">
        <f t="shared" si="5"/>
        <v>#N/A</v>
      </c>
      <c r="BE14" t="e">
        <f t="shared" si="5"/>
        <v>#N/A</v>
      </c>
      <c r="BF14" t="e">
        <f t="shared" si="5"/>
        <v>#N/A</v>
      </c>
      <c r="BG14" t="e">
        <f t="shared" si="5"/>
        <v>#N/A</v>
      </c>
      <c r="BH14" t="e">
        <f t="shared" si="5"/>
        <v>#N/A</v>
      </c>
      <c r="BI14" t="e">
        <f t="shared" si="5"/>
        <v>#N/A</v>
      </c>
      <c r="BJ14" t="e">
        <f t="shared" si="5"/>
        <v>#N/A</v>
      </c>
      <c r="BK14" t="e">
        <f t="shared" si="6"/>
        <v>#N/A</v>
      </c>
      <c r="BL14" t="e">
        <f t="shared" si="6"/>
        <v>#N/A</v>
      </c>
      <c r="BM14" t="e">
        <f t="shared" si="6"/>
        <v>#N/A</v>
      </c>
      <c r="BN14" t="e">
        <f t="shared" si="6"/>
        <v>#N/A</v>
      </c>
      <c r="BO14" t="e">
        <f t="shared" si="6"/>
        <v>#N/A</v>
      </c>
      <c r="BP14" t="e">
        <f t="shared" si="6"/>
        <v>#N/A</v>
      </c>
      <c r="BQ14" t="e">
        <f t="shared" si="6"/>
        <v>#N/A</v>
      </c>
      <c r="BR14" t="e">
        <f t="shared" si="6"/>
        <v>#N/A</v>
      </c>
      <c r="BS14" t="e">
        <f t="shared" si="6"/>
        <v>#N/A</v>
      </c>
      <c r="BT14" t="e">
        <f t="shared" si="6"/>
        <v>#N/A</v>
      </c>
      <c r="BU14" t="e">
        <f t="shared" si="7"/>
        <v>#N/A</v>
      </c>
      <c r="BV14" t="e">
        <f t="shared" si="7"/>
        <v>#N/A</v>
      </c>
      <c r="BW14" t="e">
        <f t="shared" si="7"/>
        <v>#N/A</v>
      </c>
      <c r="BX14" t="e">
        <f t="shared" si="7"/>
        <v>#N/A</v>
      </c>
      <c r="BY14" t="e">
        <f t="shared" si="7"/>
        <v>#N/A</v>
      </c>
      <c r="BZ14" t="e">
        <f t="shared" si="7"/>
        <v>#N/A</v>
      </c>
      <c r="CA14" t="e">
        <f t="shared" si="7"/>
        <v>#N/A</v>
      </c>
      <c r="CB14" t="e">
        <f t="shared" si="7"/>
        <v>#N/A</v>
      </c>
      <c r="CC14" t="e">
        <f t="shared" si="7"/>
        <v>#N/A</v>
      </c>
      <c r="CD14" t="e">
        <f t="shared" si="7"/>
        <v>#N/A</v>
      </c>
      <c r="CE14" t="e">
        <f t="shared" si="7"/>
        <v>#N/A</v>
      </c>
      <c r="CF14" t="e">
        <f t="shared" si="7"/>
        <v>#N/A</v>
      </c>
      <c r="CG14" t="e">
        <f t="shared" si="7"/>
        <v>#N/A</v>
      </c>
      <c r="CH14" t="e">
        <f t="shared" si="8"/>
        <v>#N/A</v>
      </c>
      <c r="CI14" t="e">
        <f t="shared" si="8"/>
        <v>#N/A</v>
      </c>
      <c r="CJ14" t="e">
        <f t="shared" si="8"/>
        <v>#N/A</v>
      </c>
      <c r="CK14" t="e">
        <f t="shared" si="8"/>
        <v>#N/A</v>
      </c>
      <c r="CL14" t="e">
        <f t="shared" si="8"/>
        <v>#N/A</v>
      </c>
      <c r="CM14" t="e">
        <f t="shared" si="8"/>
        <v>#N/A</v>
      </c>
    </row>
    <row r="16" spans="1:91">
      <c r="A16" t="s">
        <v>337</v>
      </c>
      <c r="B16">
        <f>B4</f>
        <v>0</v>
      </c>
      <c r="D16" s="6">
        <f>入力欄!D4</f>
        <v>0</v>
      </c>
      <c r="E16" s="2">
        <f>IF(OR(ISNA(E4),$D16=0),0,E4*$D16/$D4)</f>
        <v>0</v>
      </c>
      <c r="F16" s="2">
        <f t="shared" ref="F16:BQ16" si="9">IF(OR(ISNA(F4),$D16=0),0,F4*$D16/$D4)</f>
        <v>0</v>
      </c>
      <c r="G16" s="2">
        <f t="shared" si="9"/>
        <v>0</v>
      </c>
      <c r="H16" s="2">
        <f t="shared" si="9"/>
        <v>0</v>
      </c>
      <c r="I16" s="2">
        <f t="shared" si="9"/>
        <v>0</v>
      </c>
      <c r="J16" s="2">
        <f t="shared" si="9"/>
        <v>0</v>
      </c>
      <c r="K16" s="2">
        <f t="shared" si="9"/>
        <v>0</v>
      </c>
      <c r="L16" s="2">
        <f t="shared" si="9"/>
        <v>0</v>
      </c>
      <c r="M16" s="2">
        <f t="shared" si="9"/>
        <v>0</v>
      </c>
      <c r="N16" s="2">
        <f t="shared" si="9"/>
        <v>0</v>
      </c>
      <c r="O16" s="2">
        <f t="shared" si="9"/>
        <v>0</v>
      </c>
      <c r="P16" s="2">
        <f t="shared" si="9"/>
        <v>0</v>
      </c>
      <c r="Q16" s="2">
        <f t="shared" si="9"/>
        <v>0</v>
      </c>
      <c r="R16" s="2">
        <f t="shared" si="9"/>
        <v>0</v>
      </c>
      <c r="S16" s="2">
        <f t="shared" si="9"/>
        <v>0</v>
      </c>
      <c r="T16" s="2">
        <f t="shared" si="9"/>
        <v>0</v>
      </c>
      <c r="U16" s="2">
        <f t="shared" si="9"/>
        <v>0</v>
      </c>
      <c r="V16" s="2">
        <f t="shared" si="9"/>
        <v>0</v>
      </c>
      <c r="W16" s="2">
        <f t="shared" si="9"/>
        <v>0</v>
      </c>
      <c r="X16" s="2">
        <f t="shared" si="9"/>
        <v>0</v>
      </c>
      <c r="Y16" s="2">
        <f t="shared" si="9"/>
        <v>0</v>
      </c>
      <c r="Z16" s="2">
        <f t="shared" si="9"/>
        <v>0</v>
      </c>
      <c r="AA16" s="2">
        <f t="shared" si="9"/>
        <v>0</v>
      </c>
      <c r="AB16" s="2">
        <f t="shared" si="9"/>
        <v>0</v>
      </c>
      <c r="AC16" s="2">
        <f t="shared" si="9"/>
        <v>0</v>
      </c>
      <c r="AD16" s="2">
        <f t="shared" si="9"/>
        <v>0</v>
      </c>
      <c r="AE16" s="2">
        <f t="shared" si="9"/>
        <v>0</v>
      </c>
      <c r="AF16" s="2">
        <f t="shared" si="9"/>
        <v>0</v>
      </c>
      <c r="AG16" s="2">
        <f t="shared" si="9"/>
        <v>0</v>
      </c>
      <c r="AH16" s="2">
        <f t="shared" si="9"/>
        <v>0</v>
      </c>
      <c r="AI16" s="2">
        <f t="shared" si="9"/>
        <v>0</v>
      </c>
      <c r="AJ16" s="2">
        <f t="shared" si="9"/>
        <v>0</v>
      </c>
      <c r="AK16" s="2">
        <f t="shared" si="9"/>
        <v>0</v>
      </c>
      <c r="AL16" s="2">
        <f t="shared" si="9"/>
        <v>0</v>
      </c>
      <c r="AM16" s="2">
        <f t="shared" si="9"/>
        <v>0</v>
      </c>
      <c r="AN16" s="2">
        <f t="shared" si="9"/>
        <v>0</v>
      </c>
      <c r="AO16" s="2">
        <f t="shared" si="9"/>
        <v>0</v>
      </c>
      <c r="AP16" s="2">
        <f t="shared" si="9"/>
        <v>0</v>
      </c>
      <c r="AQ16" s="2">
        <f t="shared" si="9"/>
        <v>0</v>
      </c>
      <c r="AR16" s="2">
        <f t="shared" si="9"/>
        <v>0</v>
      </c>
      <c r="AS16" s="2">
        <f t="shared" si="9"/>
        <v>0</v>
      </c>
      <c r="AT16" s="2">
        <f t="shared" si="9"/>
        <v>0</v>
      </c>
      <c r="AU16" s="2">
        <f t="shared" si="9"/>
        <v>0</v>
      </c>
      <c r="AV16" s="2">
        <f t="shared" si="9"/>
        <v>0</v>
      </c>
      <c r="AW16" s="2">
        <f t="shared" si="9"/>
        <v>0</v>
      </c>
      <c r="AX16" s="2">
        <f t="shared" si="9"/>
        <v>0</v>
      </c>
      <c r="AY16" s="2">
        <f t="shared" si="9"/>
        <v>0</v>
      </c>
      <c r="AZ16" s="2">
        <f t="shared" si="9"/>
        <v>0</v>
      </c>
      <c r="BA16" s="2">
        <f t="shared" si="9"/>
        <v>0</v>
      </c>
      <c r="BB16" s="2">
        <f t="shared" si="9"/>
        <v>0</v>
      </c>
      <c r="BC16" s="2">
        <f t="shared" si="9"/>
        <v>0</v>
      </c>
      <c r="BD16" s="2">
        <f t="shared" si="9"/>
        <v>0</v>
      </c>
      <c r="BE16" s="2">
        <f t="shared" si="9"/>
        <v>0</v>
      </c>
      <c r="BF16" s="2">
        <f t="shared" si="9"/>
        <v>0</v>
      </c>
      <c r="BG16" s="2">
        <f t="shared" si="9"/>
        <v>0</v>
      </c>
      <c r="BH16" s="2">
        <f t="shared" si="9"/>
        <v>0</v>
      </c>
      <c r="BI16" s="2">
        <f t="shared" si="9"/>
        <v>0</v>
      </c>
      <c r="BJ16" s="2">
        <f t="shared" si="9"/>
        <v>0</v>
      </c>
      <c r="BK16" s="2">
        <f t="shared" si="9"/>
        <v>0</v>
      </c>
      <c r="BL16" s="2">
        <f t="shared" si="9"/>
        <v>0</v>
      </c>
      <c r="BM16" s="2">
        <f t="shared" si="9"/>
        <v>0</v>
      </c>
      <c r="BN16" s="2">
        <f t="shared" si="9"/>
        <v>0</v>
      </c>
      <c r="BO16" s="2">
        <f t="shared" si="9"/>
        <v>0</v>
      </c>
      <c r="BP16" s="2">
        <f t="shared" si="9"/>
        <v>0</v>
      </c>
      <c r="BQ16" s="2">
        <f t="shared" si="9"/>
        <v>0</v>
      </c>
      <c r="BR16" s="2">
        <f t="shared" ref="BR16:CH16" si="10">IF(OR(ISNA(BR4),$D16=0),0,BR4*$D16/$D4)</f>
        <v>0</v>
      </c>
      <c r="BS16" s="2">
        <f t="shared" si="10"/>
        <v>0</v>
      </c>
      <c r="BT16" s="2">
        <f t="shared" si="10"/>
        <v>0</v>
      </c>
      <c r="BU16" s="2">
        <f t="shared" si="10"/>
        <v>0</v>
      </c>
      <c r="BV16" s="2">
        <f t="shared" si="10"/>
        <v>0</v>
      </c>
      <c r="BW16" s="2">
        <f t="shared" si="10"/>
        <v>0</v>
      </c>
      <c r="BX16" s="2">
        <f t="shared" si="10"/>
        <v>0</v>
      </c>
      <c r="BY16" s="2">
        <f t="shared" si="10"/>
        <v>0</v>
      </c>
      <c r="BZ16" s="2">
        <f t="shared" si="10"/>
        <v>0</v>
      </c>
      <c r="CA16" s="2">
        <f t="shared" si="10"/>
        <v>0</v>
      </c>
      <c r="CB16" s="2">
        <f t="shared" si="10"/>
        <v>0</v>
      </c>
      <c r="CC16" s="2">
        <f t="shared" si="10"/>
        <v>0</v>
      </c>
      <c r="CD16" s="2">
        <f t="shared" si="10"/>
        <v>0</v>
      </c>
      <c r="CE16" s="2">
        <f t="shared" si="10"/>
        <v>0</v>
      </c>
      <c r="CF16" s="2">
        <f t="shared" si="10"/>
        <v>0</v>
      </c>
      <c r="CG16" s="2">
        <f t="shared" si="10"/>
        <v>0</v>
      </c>
      <c r="CH16" s="2">
        <f t="shared" si="10"/>
        <v>0</v>
      </c>
      <c r="CI16" s="2">
        <f t="shared" ref="CI16:CM16" si="11">IF(OR(ISNA(CI4),$D16=0),0,CI4*$D16/$D4)</f>
        <v>0</v>
      </c>
      <c r="CJ16" s="2">
        <f t="shared" si="11"/>
        <v>0</v>
      </c>
      <c r="CK16" s="2">
        <f t="shared" si="11"/>
        <v>0</v>
      </c>
      <c r="CL16" s="2">
        <f t="shared" si="11"/>
        <v>0</v>
      </c>
      <c r="CM16" s="2">
        <f t="shared" si="11"/>
        <v>0</v>
      </c>
    </row>
    <row r="17" spans="1:91">
      <c r="A17" t="s">
        <v>343</v>
      </c>
      <c r="B17">
        <f t="shared" ref="B17:B27" si="12">B5</f>
        <v>0</v>
      </c>
      <c r="D17" s="6">
        <f>入力欄!D5</f>
        <v>0</v>
      </c>
      <c r="E17" s="2">
        <f t="shared" ref="E17:BP17" si="13">IF(OR(ISNA(E5),$D17=0),0,E5*$D17/$D5)</f>
        <v>0</v>
      </c>
      <c r="F17" s="2">
        <f t="shared" si="13"/>
        <v>0</v>
      </c>
      <c r="G17" s="2">
        <f t="shared" si="13"/>
        <v>0</v>
      </c>
      <c r="H17" s="2">
        <f t="shared" si="13"/>
        <v>0</v>
      </c>
      <c r="I17" s="2">
        <f t="shared" si="13"/>
        <v>0</v>
      </c>
      <c r="J17" s="2">
        <f t="shared" si="13"/>
        <v>0</v>
      </c>
      <c r="K17" s="2">
        <f t="shared" si="13"/>
        <v>0</v>
      </c>
      <c r="L17" s="2">
        <f t="shared" si="13"/>
        <v>0</v>
      </c>
      <c r="M17" s="2">
        <f t="shared" si="13"/>
        <v>0</v>
      </c>
      <c r="N17" s="2">
        <f t="shared" si="13"/>
        <v>0</v>
      </c>
      <c r="O17" s="2">
        <f t="shared" si="13"/>
        <v>0</v>
      </c>
      <c r="P17" s="2">
        <f t="shared" si="13"/>
        <v>0</v>
      </c>
      <c r="Q17" s="2">
        <f t="shared" si="13"/>
        <v>0</v>
      </c>
      <c r="R17" s="2">
        <f t="shared" si="13"/>
        <v>0</v>
      </c>
      <c r="S17" s="2">
        <f t="shared" si="13"/>
        <v>0</v>
      </c>
      <c r="T17" s="2">
        <f t="shared" si="13"/>
        <v>0</v>
      </c>
      <c r="U17" s="2">
        <f t="shared" si="13"/>
        <v>0</v>
      </c>
      <c r="V17" s="2">
        <f t="shared" si="13"/>
        <v>0</v>
      </c>
      <c r="W17" s="2">
        <f t="shared" si="13"/>
        <v>0</v>
      </c>
      <c r="X17" s="2">
        <f t="shared" si="13"/>
        <v>0</v>
      </c>
      <c r="Y17" s="2">
        <f t="shared" si="13"/>
        <v>0</v>
      </c>
      <c r="Z17" s="2">
        <f t="shared" si="13"/>
        <v>0</v>
      </c>
      <c r="AA17" s="2">
        <f t="shared" si="13"/>
        <v>0</v>
      </c>
      <c r="AB17" s="2">
        <f t="shared" si="13"/>
        <v>0</v>
      </c>
      <c r="AC17" s="2">
        <f t="shared" si="13"/>
        <v>0</v>
      </c>
      <c r="AD17" s="2">
        <f t="shared" si="13"/>
        <v>0</v>
      </c>
      <c r="AE17" s="2">
        <f t="shared" si="13"/>
        <v>0</v>
      </c>
      <c r="AF17" s="2">
        <f t="shared" si="13"/>
        <v>0</v>
      </c>
      <c r="AG17" s="2">
        <f t="shared" si="13"/>
        <v>0</v>
      </c>
      <c r="AH17" s="2">
        <f t="shared" si="13"/>
        <v>0</v>
      </c>
      <c r="AI17" s="2">
        <f t="shared" si="13"/>
        <v>0</v>
      </c>
      <c r="AJ17" s="2">
        <f t="shared" si="13"/>
        <v>0</v>
      </c>
      <c r="AK17" s="2">
        <f t="shared" si="13"/>
        <v>0</v>
      </c>
      <c r="AL17" s="2">
        <f t="shared" si="13"/>
        <v>0</v>
      </c>
      <c r="AM17" s="2">
        <f t="shared" si="13"/>
        <v>0</v>
      </c>
      <c r="AN17" s="2">
        <f t="shared" si="13"/>
        <v>0</v>
      </c>
      <c r="AO17" s="2">
        <f t="shared" si="13"/>
        <v>0</v>
      </c>
      <c r="AP17" s="2">
        <f t="shared" si="13"/>
        <v>0</v>
      </c>
      <c r="AQ17" s="2">
        <f t="shared" si="13"/>
        <v>0</v>
      </c>
      <c r="AR17" s="2">
        <f t="shared" si="13"/>
        <v>0</v>
      </c>
      <c r="AS17" s="2">
        <f t="shared" si="13"/>
        <v>0</v>
      </c>
      <c r="AT17" s="2">
        <f t="shared" si="13"/>
        <v>0</v>
      </c>
      <c r="AU17" s="2">
        <f t="shared" si="13"/>
        <v>0</v>
      </c>
      <c r="AV17" s="2">
        <f t="shared" si="13"/>
        <v>0</v>
      </c>
      <c r="AW17" s="2">
        <f t="shared" si="13"/>
        <v>0</v>
      </c>
      <c r="AX17" s="2">
        <f t="shared" si="13"/>
        <v>0</v>
      </c>
      <c r="AY17" s="2">
        <f t="shared" si="13"/>
        <v>0</v>
      </c>
      <c r="AZ17" s="2">
        <f t="shared" si="13"/>
        <v>0</v>
      </c>
      <c r="BA17" s="2">
        <f t="shared" si="13"/>
        <v>0</v>
      </c>
      <c r="BB17" s="2">
        <f t="shared" si="13"/>
        <v>0</v>
      </c>
      <c r="BC17" s="2">
        <f t="shared" si="13"/>
        <v>0</v>
      </c>
      <c r="BD17" s="2">
        <f t="shared" si="13"/>
        <v>0</v>
      </c>
      <c r="BE17" s="2">
        <f t="shared" si="13"/>
        <v>0</v>
      </c>
      <c r="BF17" s="2">
        <f t="shared" si="13"/>
        <v>0</v>
      </c>
      <c r="BG17" s="2">
        <f t="shared" si="13"/>
        <v>0</v>
      </c>
      <c r="BH17" s="2">
        <f t="shared" si="13"/>
        <v>0</v>
      </c>
      <c r="BI17" s="2">
        <f t="shared" si="13"/>
        <v>0</v>
      </c>
      <c r="BJ17" s="2">
        <f t="shared" si="13"/>
        <v>0</v>
      </c>
      <c r="BK17" s="2">
        <f t="shared" si="13"/>
        <v>0</v>
      </c>
      <c r="BL17" s="2">
        <f t="shared" si="13"/>
        <v>0</v>
      </c>
      <c r="BM17" s="2">
        <f t="shared" si="13"/>
        <v>0</v>
      </c>
      <c r="BN17" s="2">
        <f t="shared" si="13"/>
        <v>0</v>
      </c>
      <c r="BO17" s="2">
        <f t="shared" si="13"/>
        <v>0</v>
      </c>
      <c r="BP17" s="2">
        <f t="shared" si="13"/>
        <v>0</v>
      </c>
      <c r="BQ17" s="2">
        <f t="shared" ref="BQ17:CM17" si="14">IF(OR(ISNA(BQ5),$D17=0),0,BQ5*$D17/$D5)</f>
        <v>0</v>
      </c>
      <c r="BR17" s="2">
        <f t="shared" si="14"/>
        <v>0</v>
      </c>
      <c r="BS17" s="2">
        <f t="shared" si="14"/>
        <v>0</v>
      </c>
      <c r="BT17" s="2">
        <f t="shared" si="14"/>
        <v>0</v>
      </c>
      <c r="BU17" s="2">
        <f t="shared" si="14"/>
        <v>0</v>
      </c>
      <c r="BV17" s="2">
        <f t="shared" si="14"/>
        <v>0</v>
      </c>
      <c r="BW17" s="2">
        <f t="shared" si="14"/>
        <v>0</v>
      </c>
      <c r="BX17" s="2">
        <f t="shared" si="14"/>
        <v>0</v>
      </c>
      <c r="BY17" s="2">
        <f t="shared" si="14"/>
        <v>0</v>
      </c>
      <c r="BZ17" s="2">
        <f t="shared" si="14"/>
        <v>0</v>
      </c>
      <c r="CA17" s="2">
        <f t="shared" si="14"/>
        <v>0</v>
      </c>
      <c r="CB17" s="2">
        <f t="shared" si="14"/>
        <v>0</v>
      </c>
      <c r="CC17" s="2">
        <f t="shared" si="14"/>
        <v>0</v>
      </c>
      <c r="CD17" s="2">
        <f t="shared" si="14"/>
        <v>0</v>
      </c>
      <c r="CE17" s="2">
        <f t="shared" si="14"/>
        <v>0</v>
      </c>
      <c r="CF17" s="2">
        <f t="shared" si="14"/>
        <v>0</v>
      </c>
      <c r="CG17" s="2">
        <f t="shared" si="14"/>
        <v>0</v>
      </c>
      <c r="CH17" s="2">
        <f t="shared" si="14"/>
        <v>0</v>
      </c>
      <c r="CI17" s="2">
        <f t="shared" si="14"/>
        <v>0</v>
      </c>
      <c r="CJ17" s="2">
        <f t="shared" si="14"/>
        <v>0</v>
      </c>
      <c r="CK17" s="2">
        <f t="shared" si="14"/>
        <v>0</v>
      </c>
      <c r="CL17" s="2">
        <f t="shared" si="14"/>
        <v>0</v>
      </c>
      <c r="CM17" s="2">
        <f t="shared" si="14"/>
        <v>0</v>
      </c>
    </row>
    <row r="18" spans="1:91">
      <c r="B18">
        <f t="shared" si="12"/>
        <v>0</v>
      </c>
      <c r="D18" s="6">
        <f>入力欄!D6</f>
        <v>0</v>
      </c>
      <c r="E18" s="2">
        <f t="shared" ref="E18:BP18" si="15">IF(OR(ISNA(E6),$D18=0),0,E6*$D18/$D6)</f>
        <v>0</v>
      </c>
      <c r="F18" s="2">
        <f t="shared" si="15"/>
        <v>0</v>
      </c>
      <c r="G18" s="2">
        <f t="shared" si="15"/>
        <v>0</v>
      </c>
      <c r="H18" s="2">
        <f t="shared" si="15"/>
        <v>0</v>
      </c>
      <c r="I18" s="2">
        <f t="shared" si="15"/>
        <v>0</v>
      </c>
      <c r="J18" s="2">
        <f t="shared" si="15"/>
        <v>0</v>
      </c>
      <c r="K18" s="2">
        <f t="shared" si="15"/>
        <v>0</v>
      </c>
      <c r="L18" s="2">
        <f t="shared" si="15"/>
        <v>0</v>
      </c>
      <c r="M18" s="2">
        <f t="shared" si="15"/>
        <v>0</v>
      </c>
      <c r="N18" s="2">
        <f t="shared" si="15"/>
        <v>0</v>
      </c>
      <c r="O18" s="2">
        <f t="shared" si="15"/>
        <v>0</v>
      </c>
      <c r="P18" s="2">
        <f t="shared" si="15"/>
        <v>0</v>
      </c>
      <c r="Q18" s="2">
        <f t="shared" si="15"/>
        <v>0</v>
      </c>
      <c r="R18" s="2">
        <f t="shared" si="15"/>
        <v>0</v>
      </c>
      <c r="S18" s="2">
        <f t="shared" si="15"/>
        <v>0</v>
      </c>
      <c r="T18" s="2">
        <f t="shared" si="15"/>
        <v>0</v>
      </c>
      <c r="U18" s="2">
        <f t="shared" si="15"/>
        <v>0</v>
      </c>
      <c r="V18" s="2">
        <f t="shared" si="15"/>
        <v>0</v>
      </c>
      <c r="W18" s="2">
        <f t="shared" si="15"/>
        <v>0</v>
      </c>
      <c r="X18" s="2">
        <f t="shared" si="15"/>
        <v>0</v>
      </c>
      <c r="Y18" s="2">
        <f t="shared" si="15"/>
        <v>0</v>
      </c>
      <c r="Z18" s="2">
        <f t="shared" si="15"/>
        <v>0</v>
      </c>
      <c r="AA18" s="2">
        <f t="shared" si="15"/>
        <v>0</v>
      </c>
      <c r="AB18" s="2">
        <f t="shared" si="15"/>
        <v>0</v>
      </c>
      <c r="AC18" s="2">
        <f t="shared" si="15"/>
        <v>0</v>
      </c>
      <c r="AD18" s="2">
        <f t="shared" si="15"/>
        <v>0</v>
      </c>
      <c r="AE18" s="2">
        <f t="shared" si="15"/>
        <v>0</v>
      </c>
      <c r="AF18" s="2">
        <f t="shared" si="15"/>
        <v>0</v>
      </c>
      <c r="AG18" s="2">
        <f t="shared" si="15"/>
        <v>0</v>
      </c>
      <c r="AH18" s="2">
        <f t="shared" si="15"/>
        <v>0</v>
      </c>
      <c r="AI18" s="2">
        <f t="shared" si="15"/>
        <v>0</v>
      </c>
      <c r="AJ18" s="2">
        <f t="shared" si="15"/>
        <v>0</v>
      </c>
      <c r="AK18" s="2">
        <f t="shared" si="15"/>
        <v>0</v>
      </c>
      <c r="AL18" s="2">
        <f t="shared" si="15"/>
        <v>0</v>
      </c>
      <c r="AM18" s="2">
        <f t="shared" si="15"/>
        <v>0</v>
      </c>
      <c r="AN18" s="2">
        <f t="shared" si="15"/>
        <v>0</v>
      </c>
      <c r="AO18" s="2">
        <f t="shared" si="15"/>
        <v>0</v>
      </c>
      <c r="AP18" s="2">
        <f t="shared" si="15"/>
        <v>0</v>
      </c>
      <c r="AQ18" s="2">
        <f t="shared" si="15"/>
        <v>0</v>
      </c>
      <c r="AR18" s="2">
        <f t="shared" si="15"/>
        <v>0</v>
      </c>
      <c r="AS18" s="2">
        <f t="shared" si="15"/>
        <v>0</v>
      </c>
      <c r="AT18" s="2">
        <f t="shared" si="15"/>
        <v>0</v>
      </c>
      <c r="AU18" s="2">
        <f t="shared" si="15"/>
        <v>0</v>
      </c>
      <c r="AV18" s="2">
        <f t="shared" si="15"/>
        <v>0</v>
      </c>
      <c r="AW18" s="2">
        <f t="shared" si="15"/>
        <v>0</v>
      </c>
      <c r="AX18" s="2">
        <f t="shared" si="15"/>
        <v>0</v>
      </c>
      <c r="AY18" s="2">
        <f t="shared" si="15"/>
        <v>0</v>
      </c>
      <c r="AZ18" s="2">
        <f t="shared" si="15"/>
        <v>0</v>
      </c>
      <c r="BA18" s="2">
        <f t="shared" si="15"/>
        <v>0</v>
      </c>
      <c r="BB18" s="2">
        <f t="shared" si="15"/>
        <v>0</v>
      </c>
      <c r="BC18" s="2">
        <f t="shared" si="15"/>
        <v>0</v>
      </c>
      <c r="BD18" s="2">
        <f t="shared" si="15"/>
        <v>0</v>
      </c>
      <c r="BE18" s="2">
        <f t="shared" si="15"/>
        <v>0</v>
      </c>
      <c r="BF18" s="2">
        <f t="shared" si="15"/>
        <v>0</v>
      </c>
      <c r="BG18" s="2">
        <f t="shared" si="15"/>
        <v>0</v>
      </c>
      <c r="BH18" s="2">
        <f t="shared" si="15"/>
        <v>0</v>
      </c>
      <c r="BI18" s="2">
        <f t="shared" si="15"/>
        <v>0</v>
      </c>
      <c r="BJ18" s="2">
        <f t="shared" si="15"/>
        <v>0</v>
      </c>
      <c r="BK18" s="2">
        <f t="shared" si="15"/>
        <v>0</v>
      </c>
      <c r="BL18" s="2">
        <f t="shared" si="15"/>
        <v>0</v>
      </c>
      <c r="BM18" s="2">
        <f t="shared" si="15"/>
        <v>0</v>
      </c>
      <c r="BN18" s="2">
        <f t="shared" si="15"/>
        <v>0</v>
      </c>
      <c r="BO18" s="2">
        <f t="shared" si="15"/>
        <v>0</v>
      </c>
      <c r="BP18" s="2">
        <f t="shared" si="15"/>
        <v>0</v>
      </c>
      <c r="BQ18" s="2">
        <f t="shared" ref="BQ18:CM18" si="16">IF(OR(ISNA(BQ6),$D18=0),0,BQ6*$D18/$D6)</f>
        <v>0</v>
      </c>
      <c r="BR18" s="2">
        <f t="shared" si="16"/>
        <v>0</v>
      </c>
      <c r="BS18" s="2">
        <f t="shared" si="16"/>
        <v>0</v>
      </c>
      <c r="BT18" s="2">
        <f t="shared" si="16"/>
        <v>0</v>
      </c>
      <c r="BU18" s="2">
        <f t="shared" si="16"/>
        <v>0</v>
      </c>
      <c r="BV18" s="2">
        <f t="shared" si="16"/>
        <v>0</v>
      </c>
      <c r="BW18" s="2">
        <f t="shared" si="16"/>
        <v>0</v>
      </c>
      <c r="BX18" s="2">
        <f t="shared" si="16"/>
        <v>0</v>
      </c>
      <c r="BY18" s="2">
        <f t="shared" si="16"/>
        <v>0</v>
      </c>
      <c r="BZ18" s="2">
        <f t="shared" si="16"/>
        <v>0</v>
      </c>
      <c r="CA18" s="2">
        <f t="shared" si="16"/>
        <v>0</v>
      </c>
      <c r="CB18" s="2">
        <f t="shared" si="16"/>
        <v>0</v>
      </c>
      <c r="CC18" s="2">
        <f t="shared" si="16"/>
        <v>0</v>
      </c>
      <c r="CD18" s="2">
        <f t="shared" si="16"/>
        <v>0</v>
      </c>
      <c r="CE18" s="2">
        <f t="shared" si="16"/>
        <v>0</v>
      </c>
      <c r="CF18" s="2">
        <f t="shared" si="16"/>
        <v>0</v>
      </c>
      <c r="CG18" s="2">
        <f t="shared" si="16"/>
        <v>0</v>
      </c>
      <c r="CH18" s="2">
        <f t="shared" si="16"/>
        <v>0</v>
      </c>
      <c r="CI18" s="2">
        <f t="shared" si="16"/>
        <v>0</v>
      </c>
      <c r="CJ18" s="2">
        <f t="shared" si="16"/>
        <v>0</v>
      </c>
      <c r="CK18" s="2">
        <f t="shared" si="16"/>
        <v>0</v>
      </c>
      <c r="CL18" s="2">
        <f t="shared" si="16"/>
        <v>0</v>
      </c>
      <c r="CM18" s="2">
        <f t="shared" si="16"/>
        <v>0</v>
      </c>
    </row>
    <row r="19" spans="1:91">
      <c r="B19">
        <f t="shared" si="12"/>
        <v>0</v>
      </c>
      <c r="D19" s="6">
        <f>入力欄!D7</f>
        <v>0</v>
      </c>
      <c r="E19" s="2">
        <f t="shared" ref="E19:BP19" si="17">IF(OR(ISNA(E7),$D19=0),0,E7*$D19/$D7)</f>
        <v>0</v>
      </c>
      <c r="F19" s="2">
        <f t="shared" si="17"/>
        <v>0</v>
      </c>
      <c r="G19" s="2">
        <f t="shared" si="17"/>
        <v>0</v>
      </c>
      <c r="H19" s="2">
        <f t="shared" si="17"/>
        <v>0</v>
      </c>
      <c r="I19" s="2">
        <f t="shared" si="17"/>
        <v>0</v>
      </c>
      <c r="J19" s="2">
        <f t="shared" si="17"/>
        <v>0</v>
      </c>
      <c r="K19" s="2">
        <f t="shared" si="17"/>
        <v>0</v>
      </c>
      <c r="L19" s="2">
        <f t="shared" si="17"/>
        <v>0</v>
      </c>
      <c r="M19" s="2">
        <f t="shared" si="17"/>
        <v>0</v>
      </c>
      <c r="N19" s="2">
        <f t="shared" si="17"/>
        <v>0</v>
      </c>
      <c r="O19" s="2">
        <f t="shared" si="17"/>
        <v>0</v>
      </c>
      <c r="P19" s="2">
        <f t="shared" si="17"/>
        <v>0</v>
      </c>
      <c r="Q19" s="2">
        <f t="shared" si="17"/>
        <v>0</v>
      </c>
      <c r="R19" s="2">
        <f t="shared" si="17"/>
        <v>0</v>
      </c>
      <c r="S19" s="2">
        <f t="shared" si="17"/>
        <v>0</v>
      </c>
      <c r="T19" s="2">
        <f t="shared" si="17"/>
        <v>0</v>
      </c>
      <c r="U19" s="2">
        <f t="shared" si="17"/>
        <v>0</v>
      </c>
      <c r="V19" s="2">
        <f t="shared" si="17"/>
        <v>0</v>
      </c>
      <c r="W19" s="2">
        <f t="shared" si="17"/>
        <v>0</v>
      </c>
      <c r="X19" s="2">
        <f t="shared" si="17"/>
        <v>0</v>
      </c>
      <c r="Y19" s="2">
        <f t="shared" si="17"/>
        <v>0</v>
      </c>
      <c r="Z19" s="2">
        <f t="shared" si="17"/>
        <v>0</v>
      </c>
      <c r="AA19" s="2">
        <f t="shared" si="17"/>
        <v>0</v>
      </c>
      <c r="AB19" s="2">
        <f t="shared" si="17"/>
        <v>0</v>
      </c>
      <c r="AC19" s="2">
        <f t="shared" si="17"/>
        <v>0</v>
      </c>
      <c r="AD19" s="2">
        <f t="shared" si="17"/>
        <v>0</v>
      </c>
      <c r="AE19" s="2">
        <f t="shared" si="17"/>
        <v>0</v>
      </c>
      <c r="AF19" s="2">
        <f t="shared" si="17"/>
        <v>0</v>
      </c>
      <c r="AG19" s="2">
        <f t="shared" si="17"/>
        <v>0</v>
      </c>
      <c r="AH19" s="2">
        <f t="shared" si="17"/>
        <v>0</v>
      </c>
      <c r="AI19" s="2">
        <f t="shared" si="17"/>
        <v>0</v>
      </c>
      <c r="AJ19" s="2">
        <f t="shared" si="17"/>
        <v>0</v>
      </c>
      <c r="AK19" s="2">
        <f t="shared" si="17"/>
        <v>0</v>
      </c>
      <c r="AL19" s="2">
        <f t="shared" si="17"/>
        <v>0</v>
      </c>
      <c r="AM19" s="2">
        <f t="shared" si="17"/>
        <v>0</v>
      </c>
      <c r="AN19" s="2">
        <f t="shared" si="17"/>
        <v>0</v>
      </c>
      <c r="AO19" s="2">
        <f t="shared" si="17"/>
        <v>0</v>
      </c>
      <c r="AP19" s="2">
        <f t="shared" si="17"/>
        <v>0</v>
      </c>
      <c r="AQ19" s="2">
        <f t="shared" si="17"/>
        <v>0</v>
      </c>
      <c r="AR19" s="2">
        <f t="shared" si="17"/>
        <v>0</v>
      </c>
      <c r="AS19" s="2">
        <f t="shared" si="17"/>
        <v>0</v>
      </c>
      <c r="AT19" s="2">
        <f t="shared" si="17"/>
        <v>0</v>
      </c>
      <c r="AU19" s="2">
        <f t="shared" si="17"/>
        <v>0</v>
      </c>
      <c r="AV19" s="2">
        <f t="shared" si="17"/>
        <v>0</v>
      </c>
      <c r="AW19" s="2">
        <f t="shared" si="17"/>
        <v>0</v>
      </c>
      <c r="AX19" s="2">
        <f t="shared" si="17"/>
        <v>0</v>
      </c>
      <c r="AY19" s="2">
        <f t="shared" si="17"/>
        <v>0</v>
      </c>
      <c r="AZ19" s="2">
        <f t="shared" si="17"/>
        <v>0</v>
      </c>
      <c r="BA19" s="2">
        <f t="shared" si="17"/>
        <v>0</v>
      </c>
      <c r="BB19" s="2">
        <f t="shared" si="17"/>
        <v>0</v>
      </c>
      <c r="BC19" s="2">
        <f t="shared" si="17"/>
        <v>0</v>
      </c>
      <c r="BD19" s="2">
        <f t="shared" si="17"/>
        <v>0</v>
      </c>
      <c r="BE19" s="2">
        <f t="shared" si="17"/>
        <v>0</v>
      </c>
      <c r="BF19" s="2">
        <f t="shared" si="17"/>
        <v>0</v>
      </c>
      <c r="BG19" s="2">
        <f t="shared" si="17"/>
        <v>0</v>
      </c>
      <c r="BH19" s="2">
        <f t="shared" si="17"/>
        <v>0</v>
      </c>
      <c r="BI19" s="2">
        <f t="shared" si="17"/>
        <v>0</v>
      </c>
      <c r="BJ19" s="2">
        <f t="shared" si="17"/>
        <v>0</v>
      </c>
      <c r="BK19" s="2">
        <f t="shared" si="17"/>
        <v>0</v>
      </c>
      <c r="BL19" s="2">
        <f t="shared" si="17"/>
        <v>0</v>
      </c>
      <c r="BM19" s="2">
        <f t="shared" si="17"/>
        <v>0</v>
      </c>
      <c r="BN19" s="2">
        <f t="shared" si="17"/>
        <v>0</v>
      </c>
      <c r="BO19" s="2">
        <f t="shared" si="17"/>
        <v>0</v>
      </c>
      <c r="BP19" s="2">
        <f t="shared" si="17"/>
        <v>0</v>
      </c>
      <c r="BQ19" s="2">
        <f t="shared" ref="BQ19:CM19" si="18">IF(OR(ISNA(BQ7),$D19=0),0,BQ7*$D19/$D7)</f>
        <v>0</v>
      </c>
      <c r="BR19" s="2">
        <f t="shared" si="18"/>
        <v>0</v>
      </c>
      <c r="BS19" s="2">
        <f t="shared" si="18"/>
        <v>0</v>
      </c>
      <c r="BT19" s="2">
        <f t="shared" si="18"/>
        <v>0</v>
      </c>
      <c r="BU19" s="2">
        <f t="shared" si="18"/>
        <v>0</v>
      </c>
      <c r="BV19" s="2">
        <f t="shared" si="18"/>
        <v>0</v>
      </c>
      <c r="BW19" s="2">
        <f t="shared" si="18"/>
        <v>0</v>
      </c>
      <c r="BX19" s="2">
        <f t="shared" si="18"/>
        <v>0</v>
      </c>
      <c r="BY19" s="2">
        <f t="shared" si="18"/>
        <v>0</v>
      </c>
      <c r="BZ19" s="2">
        <f t="shared" si="18"/>
        <v>0</v>
      </c>
      <c r="CA19" s="2">
        <f t="shared" si="18"/>
        <v>0</v>
      </c>
      <c r="CB19" s="2">
        <f t="shared" si="18"/>
        <v>0</v>
      </c>
      <c r="CC19" s="2">
        <f t="shared" si="18"/>
        <v>0</v>
      </c>
      <c r="CD19" s="2">
        <f t="shared" si="18"/>
        <v>0</v>
      </c>
      <c r="CE19" s="2">
        <f t="shared" si="18"/>
        <v>0</v>
      </c>
      <c r="CF19" s="2">
        <f t="shared" si="18"/>
        <v>0</v>
      </c>
      <c r="CG19" s="2">
        <f t="shared" si="18"/>
        <v>0</v>
      </c>
      <c r="CH19" s="2">
        <f t="shared" si="18"/>
        <v>0</v>
      </c>
      <c r="CI19" s="2">
        <f t="shared" si="18"/>
        <v>0</v>
      </c>
      <c r="CJ19" s="2">
        <f t="shared" si="18"/>
        <v>0</v>
      </c>
      <c r="CK19" s="2">
        <f t="shared" si="18"/>
        <v>0</v>
      </c>
      <c r="CL19" s="2">
        <f t="shared" si="18"/>
        <v>0</v>
      </c>
      <c r="CM19" s="2">
        <f t="shared" si="18"/>
        <v>0</v>
      </c>
    </row>
    <row r="20" spans="1:91">
      <c r="B20">
        <f t="shared" si="12"/>
        <v>0</v>
      </c>
      <c r="D20" s="6">
        <f>入力欄!D8</f>
        <v>0</v>
      </c>
      <c r="E20" s="2">
        <f t="shared" ref="E20:BP20" si="19">IF(OR(ISNA(E8),$D20=0),0,E8*$D20/$D8)</f>
        <v>0</v>
      </c>
      <c r="F20" s="2">
        <f t="shared" si="19"/>
        <v>0</v>
      </c>
      <c r="G20" s="2">
        <f t="shared" si="19"/>
        <v>0</v>
      </c>
      <c r="H20" s="2">
        <f t="shared" si="19"/>
        <v>0</v>
      </c>
      <c r="I20" s="2">
        <f t="shared" si="19"/>
        <v>0</v>
      </c>
      <c r="J20" s="2">
        <f t="shared" si="19"/>
        <v>0</v>
      </c>
      <c r="K20" s="2">
        <f t="shared" si="19"/>
        <v>0</v>
      </c>
      <c r="L20" s="2">
        <f t="shared" si="19"/>
        <v>0</v>
      </c>
      <c r="M20" s="2">
        <f t="shared" si="19"/>
        <v>0</v>
      </c>
      <c r="N20" s="2">
        <f t="shared" si="19"/>
        <v>0</v>
      </c>
      <c r="O20" s="2">
        <f t="shared" si="19"/>
        <v>0</v>
      </c>
      <c r="P20" s="2">
        <f t="shared" si="19"/>
        <v>0</v>
      </c>
      <c r="Q20" s="2">
        <f t="shared" si="19"/>
        <v>0</v>
      </c>
      <c r="R20" s="2">
        <f t="shared" si="19"/>
        <v>0</v>
      </c>
      <c r="S20" s="2">
        <f t="shared" si="19"/>
        <v>0</v>
      </c>
      <c r="T20" s="2">
        <f t="shared" si="19"/>
        <v>0</v>
      </c>
      <c r="U20" s="2">
        <f t="shared" si="19"/>
        <v>0</v>
      </c>
      <c r="V20" s="2">
        <f t="shared" si="19"/>
        <v>0</v>
      </c>
      <c r="W20" s="2">
        <f t="shared" si="19"/>
        <v>0</v>
      </c>
      <c r="X20" s="2">
        <f t="shared" si="19"/>
        <v>0</v>
      </c>
      <c r="Y20" s="2">
        <f t="shared" si="19"/>
        <v>0</v>
      </c>
      <c r="Z20" s="2">
        <f t="shared" si="19"/>
        <v>0</v>
      </c>
      <c r="AA20" s="2">
        <f t="shared" si="19"/>
        <v>0</v>
      </c>
      <c r="AB20" s="2">
        <f t="shared" si="19"/>
        <v>0</v>
      </c>
      <c r="AC20" s="2">
        <f t="shared" si="19"/>
        <v>0</v>
      </c>
      <c r="AD20" s="2">
        <f t="shared" si="19"/>
        <v>0</v>
      </c>
      <c r="AE20" s="2">
        <f t="shared" si="19"/>
        <v>0</v>
      </c>
      <c r="AF20" s="2">
        <f t="shared" si="19"/>
        <v>0</v>
      </c>
      <c r="AG20" s="2">
        <f t="shared" si="19"/>
        <v>0</v>
      </c>
      <c r="AH20" s="2">
        <f t="shared" si="19"/>
        <v>0</v>
      </c>
      <c r="AI20" s="2">
        <f t="shared" si="19"/>
        <v>0</v>
      </c>
      <c r="AJ20" s="2">
        <f t="shared" si="19"/>
        <v>0</v>
      </c>
      <c r="AK20" s="2">
        <f t="shared" si="19"/>
        <v>0</v>
      </c>
      <c r="AL20" s="2">
        <f t="shared" si="19"/>
        <v>0</v>
      </c>
      <c r="AM20" s="2">
        <f t="shared" si="19"/>
        <v>0</v>
      </c>
      <c r="AN20" s="2">
        <f t="shared" si="19"/>
        <v>0</v>
      </c>
      <c r="AO20" s="2">
        <f t="shared" si="19"/>
        <v>0</v>
      </c>
      <c r="AP20" s="2">
        <f t="shared" si="19"/>
        <v>0</v>
      </c>
      <c r="AQ20" s="2">
        <f t="shared" si="19"/>
        <v>0</v>
      </c>
      <c r="AR20" s="2">
        <f t="shared" si="19"/>
        <v>0</v>
      </c>
      <c r="AS20" s="2">
        <f t="shared" si="19"/>
        <v>0</v>
      </c>
      <c r="AT20" s="2">
        <f t="shared" si="19"/>
        <v>0</v>
      </c>
      <c r="AU20" s="2">
        <f t="shared" si="19"/>
        <v>0</v>
      </c>
      <c r="AV20" s="2">
        <f t="shared" si="19"/>
        <v>0</v>
      </c>
      <c r="AW20" s="2">
        <f t="shared" si="19"/>
        <v>0</v>
      </c>
      <c r="AX20" s="2">
        <f t="shared" si="19"/>
        <v>0</v>
      </c>
      <c r="AY20" s="2">
        <f t="shared" si="19"/>
        <v>0</v>
      </c>
      <c r="AZ20" s="2">
        <f t="shared" si="19"/>
        <v>0</v>
      </c>
      <c r="BA20" s="2">
        <f t="shared" si="19"/>
        <v>0</v>
      </c>
      <c r="BB20" s="2">
        <f t="shared" si="19"/>
        <v>0</v>
      </c>
      <c r="BC20" s="2">
        <f t="shared" si="19"/>
        <v>0</v>
      </c>
      <c r="BD20" s="2">
        <f t="shared" si="19"/>
        <v>0</v>
      </c>
      <c r="BE20" s="2">
        <f t="shared" si="19"/>
        <v>0</v>
      </c>
      <c r="BF20" s="2">
        <f t="shared" si="19"/>
        <v>0</v>
      </c>
      <c r="BG20" s="2">
        <f t="shared" si="19"/>
        <v>0</v>
      </c>
      <c r="BH20" s="2">
        <f t="shared" si="19"/>
        <v>0</v>
      </c>
      <c r="BI20" s="2">
        <f t="shared" si="19"/>
        <v>0</v>
      </c>
      <c r="BJ20" s="2">
        <f t="shared" si="19"/>
        <v>0</v>
      </c>
      <c r="BK20" s="2">
        <f t="shared" si="19"/>
        <v>0</v>
      </c>
      <c r="BL20" s="2">
        <f t="shared" si="19"/>
        <v>0</v>
      </c>
      <c r="BM20" s="2">
        <f t="shared" si="19"/>
        <v>0</v>
      </c>
      <c r="BN20" s="2">
        <f t="shared" si="19"/>
        <v>0</v>
      </c>
      <c r="BO20" s="2">
        <f t="shared" si="19"/>
        <v>0</v>
      </c>
      <c r="BP20" s="2">
        <f t="shared" si="19"/>
        <v>0</v>
      </c>
      <c r="BQ20" s="2">
        <f t="shared" ref="BQ20:CM20" si="20">IF(OR(ISNA(BQ8),$D20=0),0,BQ8*$D20/$D8)</f>
        <v>0</v>
      </c>
      <c r="BR20" s="2">
        <f t="shared" si="20"/>
        <v>0</v>
      </c>
      <c r="BS20" s="2">
        <f t="shared" si="20"/>
        <v>0</v>
      </c>
      <c r="BT20" s="2">
        <f t="shared" si="20"/>
        <v>0</v>
      </c>
      <c r="BU20" s="2">
        <f t="shared" si="20"/>
        <v>0</v>
      </c>
      <c r="BV20" s="2">
        <f t="shared" si="20"/>
        <v>0</v>
      </c>
      <c r="BW20" s="2">
        <f t="shared" si="20"/>
        <v>0</v>
      </c>
      <c r="BX20" s="2">
        <f t="shared" si="20"/>
        <v>0</v>
      </c>
      <c r="BY20" s="2">
        <f t="shared" si="20"/>
        <v>0</v>
      </c>
      <c r="BZ20" s="2">
        <f t="shared" si="20"/>
        <v>0</v>
      </c>
      <c r="CA20" s="2">
        <f t="shared" si="20"/>
        <v>0</v>
      </c>
      <c r="CB20" s="2">
        <f t="shared" si="20"/>
        <v>0</v>
      </c>
      <c r="CC20" s="2">
        <f t="shared" si="20"/>
        <v>0</v>
      </c>
      <c r="CD20" s="2">
        <f t="shared" si="20"/>
        <v>0</v>
      </c>
      <c r="CE20" s="2">
        <f t="shared" si="20"/>
        <v>0</v>
      </c>
      <c r="CF20" s="2">
        <f t="shared" si="20"/>
        <v>0</v>
      </c>
      <c r="CG20" s="2">
        <f t="shared" si="20"/>
        <v>0</v>
      </c>
      <c r="CH20" s="2">
        <f t="shared" si="20"/>
        <v>0</v>
      </c>
      <c r="CI20" s="2">
        <f t="shared" si="20"/>
        <v>0</v>
      </c>
      <c r="CJ20" s="2">
        <f t="shared" si="20"/>
        <v>0</v>
      </c>
      <c r="CK20" s="2">
        <f t="shared" si="20"/>
        <v>0</v>
      </c>
      <c r="CL20" s="2">
        <f t="shared" si="20"/>
        <v>0</v>
      </c>
      <c r="CM20" s="2">
        <f t="shared" si="20"/>
        <v>0</v>
      </c>
    </row>
    <row r="21" spans="1:91">
      <c r="B21">
        <f t="shared" si="12"/>
        <v>0</v>
      </c>
      <c r="D21" s="6">
        <f>入力欄!D9</f>
        <v>0</v>
      </c>
      <c r="E21" s="2">
        <f t="shared" ref="E21:BP21" si="21">IF(OR(ISNA(E9),$D21=0),0,E9*$D21/$D9)</f>
        <v>0</v>
      </c>
      <c r="F21" s="2">
        <f t="shared" si="21"/>
        <v>0</v>
      </c>
      <c r="G21" s="2">
        <f t="shared" si="21"/>
        <v>0</v>
      </c>
      <c r="H21" s="2">
        <f t="shared" si="21"/>
        <v>0</v>
      </c>
      <c r="I21" s="2">
        <f t="shared" si="21"/>
        <v>0</v>
      </c>
      <c r="J21" s="2">
        <f t="shared" si="21"/>
        <v>0</v>
      </c>
      <c r="K21" s="2">
        <f t="shared" si="21"/>
        <v>0</v>
      </c>
      <c r="L21" s="2">
        <f t="shared" si="21"/>
        <v>0</v>
      </c>
      <c r="M21" s="2">
        <f t="shared" si="21"/>
        <v>0</v>
      </c>
      <c r="N21" s="2">
        <f t="shared" si="21"/>
        <v>0</v>
      </c>
      <c r="O21" s="2">
        <f t="shared" si="21"/>
        <v>0</v>
      </c>
      <c r="P21" s="2">
        <f t="shared" si="21"/>
        <v>0</v>
      </c>
      <c r="Q21" s="2">
        <f t="shared" si="21"/>
        <v>0</v>
      </c>
      <c r="R21" s="2">
        <f t="shared" si="21"/>
        <v>0</v>
      </c>
      <c r="S21" s="2">
        <f t="shared" si="21"/>
        <v>0</v>
      </c>
      <c r="T21" s="2">
        <f t="shared" si="21"/>
        <v>0</v>
      </c>
      <c r="U21" s="2">
        <f t="shared" si="21"/>
        <v>0</v>
      </c>
      <c r="V21" s="2">
        <f t="shared" si="21"/>
        <v>0</v>
      </c>
      <c r="W21" s="2">
        <f t="shared" si="21"/>
        <v>0</v>
      </c>
      <c r="X21" s="2">
        <f t="shared" si="21"/>
        <v>0</v>
      </c>
      <c r="Y21" s="2">
        <f t="shared" si="21"/>
        <v>0</v>
      </c>
      <c r="Z21" s="2">
        <f t="shared" si="21"/>
        <v>0</v>
      </c>
      <c r="AA21" s="2">
        <f t="shared" si="21"/>
        <v>0</v>
      </c>
      <c r="AB21" s="2">
        <f t="shared" si="21"/>
        <v>0</v>
      </c>
      <c r="AC21" s="2">
        <f t="shared" si="21"/>
        <v>0</v>
      </c>
      <c r="AD21" s="2">
        <f t="shared" si="21"/>
        <v>0</v>
      </c>
      <c r="AE21" s="2">
        <f t="shared" si="21"/>
        <v>0</v>
      </c>
      <c r="AF21" s="2">
        <f t="shared" si="21"/>
        <v>0</v>
      </c>
      <c r="AG21" s="2">
        <f t="shared" si="21"/>
        <v>0</v>
      </c>
      <c r="AH21" s="2">
        <f t="shared" si="21"/>
        <v>0</v>
      </c>
      <c r="AI21" s="2">
        <f t="shared" si="21"/>
        <v>0</v>
      </c>
      <c r="AJ21" s="2">
        <f t="shared" si="21"/>
        <v>0</v>
      </c>
      <c r="AK21" s="2">
        <f t="shared" si="21"/>
        <v>0</v>
      </c>
      <c r="AL21" s="2">
        <f t="shared" si="21"/>
        <v>0</v>
      </c>
      <c r="AM21" s="2">
        <f t="shared" si="21"/>
        <v>0</v>
      </c>
      <c r="AN21" s="2">
        <f t="shared" si="21"/>
        <v>0</v>
      </c>
      <c r="AO21" s="2">
        <f t="shared" si="21"/>
        <v>0</v>
      </c>
      <c r="AP21" s="2">
        <f t="shared" si="21"/>
        <v>0</v>
      </c>
      <c r="AQ21" s="2">
        <f t="shared" si="21"/>
        <v>0</v>
      </c>
      <c r="AR21" s="2">
        <f t="shared" si="21"/>
        <v>0</v>
      </c>
      <c r="AS21" s="2">
        <f t="shared" si="21"/>
        <v>0</v>
      </c>
      <c r="AT21" s="2">
        <f t="shared" si="21"/>
        <v>0</v>
      </c>
      <c r="AU21" s="2">
        <f t="shared" si="21"/>
        <v>0</v>
      </c>
      <c r="AV21" s="2">
        <f t="shared" si="21"/>
        <v>0</v>
      </c>
      <c r="AW21" s="2">
        <f t="shared" si="21"/>
        <v>0</v>
      </c>
      <c r="AX21" s="2">
        <f t="shared" si="21"/>
        <v>0</v>
      </c>
      <c r="AY21" s="2">
        <f t="shared" si="21"/>
        <v>0</v>
      </c>
      <c r="AZ21" s="2">
        <f t="shared" si="21"/>
        <v>0</v>
      </c>
      <c r="BA21" s="2">
        <f t="shared" si="21"/>
        <v>0</v>
      </c>
      <c r="BB21" s="2">
        <f t="shared" si="21"/>
        <v>0</v>
      </c>
      <c r="BC21" s="2">
        <f t="shared" si="21"/>
        <v>0</v>
      </c>
      <c r="BD21" s="2">
        <f t="shared" si="21"/>
        <v>0</v>
      </c>
      <c r="BE21" s="2">
        <f t="shared" si="21"/>
        <v>0</v>
      </c>
      <c r="BF21" s="2">
        <f t="shared" si="21"/>
        <v>0</v>
      </c>
      <c r="BG21" s="2">
        <f t="shared" si="21"/>
        <v>0</v>
      </c>
      <c r="BH21" s="2">
        <f t="shared" si="21"/>
        <v>0</v>
      </c>
      <c r="BI21" s="2">
        <f t="shared" si="21"/>
        <v>0</v>
      </c>
      <c r="BJ21" s="2">
        <f t="shared" si="21"/>
        <v>0</v>
      </c>
      <c r="BK21" s="2">
        <f t="shared" si="21"/>
        <v>0</v>
      </c>
      <c r="BL21" s="2">
        <f t="shared" si="21"/>
        <v>0</v>
      </c>
      <c r="BM21" s="2">
        <f t="shared" si="21"/>
        <v>0</v>
      </c>
      <c r="BN21" s="2">
        <f t="shared" si="21"/>
        <v>0</v>
      </c>
      <c r="BO21" s="2">
        <f t="shared" si="21"/>
        <v>0</v>
      </c>
      <c r="BP21" s="2">
        <f t="shared" si="21"/>
        <v>0</v>
      </c>
      <c r="BQ21" s="2">
        <f t="shared" ref="BQ21:CM21" si="22">IF(OR(ISNA(BQ9),$D21=0),0,BQ9*$D21/$D9)</f>
        <v>0</v>
      </c>
      <c r="BR21" s="2">
        <f t="shared" si="22"/>
        <v>0</v>
      </c>
      <c r="BS21" s="2">
        <f t="shared" si="22"/>
        <v>0</v>
      </c>
      <c r="BT21" s="2">
        <f t="shared" si="22"/>
        <v>0</v>
      </c>
      <c r="BU21" s="2">
        <f t="shared" si="22"/>
        <v>0</v>
      </c>
      <c r="BV21" s="2">
        <f t="shared" si="22"/>
        <v>0</v>
      </c>
      <c r="BW21" s="2">
        <f t="shared" si="22"/>
        <v>0</v>
      </c>
      <c r="BX21" s="2">
        <f t="shared" si="22"/>
        <v>0</v>
      </c>
      <c r="BY21" s="2">
        <f t="shared" si="22"/>
        <v>0</v>
      </c>
      <c r="BZ21" s="2">
        <f t="shared" si="22"/>
        <v>0</v>
      </c>
      <c r="CA21" s="2">
        <f t="shared" si="22"/>
        <v>0</v>
      </c>
      <c r="CB21" s="2">
        <f t="shared" si="22"/>
        <v>0</v>
      </c>
      <c r="CC21" s="2">
        <f t="shared" si="22"/>
        <v>0</v>
      </c>
      <c r="CD21" s="2">
        <f t="shared" si="22"/>
        <v>0</v>
      </c>
      <c r="CE21" s="2">
        <f t="shared" si="22"/>
        <v>0</v>
      </c>
      <c r="CF21" s="2">
        <f t="shared" si="22"/>
        <v>0</v>
      </c>
      <c r="CG21" s="2">
        <f t="shared" si="22"/>
        <v>0</v>
      </c>
      <c r="CH21" s="2">
        <f t="shared" si="22"/>
        <v>0</v>
      </c>
      <c r="CI21" s="2">
        <f t="shared" si="22"/>
        <v>0</v>
      </c>
      <c r="CJ21" s="2">
        <f t="shared" si="22"/>
        <v>0</v>
      </c>
      <c r="CK21" s="2">
        <f t="shared" si="22"/>
        <v>0</v>
      </c>
      <c r="CL21" s="2">
        <f t="shared" si="22"/>
        <v>0</v>
      </c>
      <c r="CM21" s="2">
        <f t="shared" si="22"/>
        <v>0</v>
      </c>
    </row>
    <row r="22" spans="1:91">
      <c r="B22">
        <f t="shared" si="12"/>
        <v>0</v>
      </c>
      <c r="D22" s="6">
        <f>入力欄!D10</f>
        <v>0</v>
      </c>
      <c r="E22" s="2">
        <f t="shared" ref="E22:BP22" si="23">IF(OR(ISNA(E10),$D22=0),0,E10*$D22/$D10)</f>
        <v>0</v>
      </c>
      <c r="F22" s="2">
        <f t="shared" si="23"/>
        <v>0</v>
      </c>
      <c r="G22" s="2">
        <f t="shared" si="23"/>
        <v>0</v>
      </c>
      <c r="H22" s="2">
        <f t="shared" si="23"/>
        <v>0</v>
      </c>
      <c r="I22" s="2">
        <f t="shared" si="23"/>
        <v>0</v>
      </c>
      <c r="J22" s="2">
        <f t="shared" si="23"/>
        <v>0</v>
      </c>
      <c r="K22" s="2">
        <f t="shared" si="23"/>
        <v>0</v>
      </c>
      <c r="L22" s="2">
        <f t="shared" si="23"/>
        <v>0</v>
      </c>
      <c r="M22" s="2">
        <f t="shared" si="23"/>
        <v>0</v>
      </c>
      <c r="N22" s="2">
        <f t="shared" si="23"/>
        <v>0</v>
      </c>
      <c r="O22" s="2">
        <f t="shared" si="23"/>
        <v>0</v>
      </c>
      <c r="P22" s="2">
        <f t="shared" si="23"/>
        <v>0</v>
      </c>
      <c r="Q22" s="2">
        <f t="shared" si="23"/>
        <v>0</v>
      </c>
      <c r="R22" s="2">
        <f t="shared" si="23"/>
        <v>0</v>
      </c>
      <c r="S22" s="2">
        <f t="shared" si="23"/>
        <v>0</v>
      </c>
      <c r="T22" s="2">
        <f t="shared" si="23"/>
        <v>0</v>
      </c>
      <c r="U22" s="2">
        <f t="shared" si="23"/>
        <v>0</v>
      </c>
      <c r="V22" s="2">
        <f t="shared" si="23"/>
        <v>0</v>
      </c>
      <c r="W22" s="2">
        <f t="shared" si="23"/>
        <v>0</v>
      </c>
      <c r="X22" s="2">
        <f t="shared" si="23"/>
        <v>0</v>
      </c>
      <c r="Y22" s="2">
        <f t="shared" si="23"/>
        <v>0</v>
      </c>
      <c r="Z22" s="2">
        <f t="shared" si="23"/>
        <v>0</v>
      </c>
      <c r="AA22" s="2">
        <f t="shared" si="23"/>
        <v>0</v>
      </c>
      <c r="AB22" s="2">
        <f t="shared" si="23"/>
        <v>0</v>
      </c>
      <c r="AC22" s="2">
        <f t="shared" si="23"/>
        <v>0</v>
      </c>
      <c r="AD22" s="2">
        <f t="shared" si="23"/>
        <v>0</v>
      </c>
      <c r="AE22" s="2">
        <f t="shared" si="23"/>
        <v>0</v>
      </c>
      <c r="AF22" s="2">
        <f t="shared" si="23"/>
        <v>0</v>
      </c>
      <c r="AG22" s="2">
        <f t="shared" si="23"/>
        <v>0</v>
      </c>
      <c r="AH22" s="2">
        <f t="shared" si="23"/>
        <v>0</v>
      </c>
      <c r="AI22" s="2">
        <f t="shared" si="23"/>
        <v>0</v>
      </c>
      <c r="AJ22" s="2">
        <f t="shared" si="23"/>
        <v>0</v>
      </c>
      <c r="AK22" s="2">
        <f t="shared" si="23"/>
        <v>0</v>
      </c>
      <c r="AL22" s="2">
        <f t="shared" si="23"/>
        <v>0</v>
      </c>
      <c r="AM22" s="2">
        <f t="shared" si="23"/>
        <v>0</v>
      </c>
      <c r="AN22" s="2">
        <f t="shared" si="23"/>
        <v>0</v>
      </c>
      <c r="AO22" s="2">
        <f t="shared" si="23"/>
        <v>0</v>
      </c>
      <c r="AP22" s="2">
        <f t="shared" si="23"/>
        <v>0</v>
      </c>
      <c r="AQ22" s="2">
        <f t="shared" si="23"/>
        <v>0</v>
      </c>
      <c r="AR22" s="2">
        <f t="shared" si="23"/>
        <v>0</v>
      </c>
      <c r="AS22" s="2">
        <f t="shared" si="23"/>
        <v>0</v>
      </c>
      <c r="AT22" s="2">
        <f t="shared" si="23"/>
        <v>0</v>
      </c>
      <c r="AU22" s="2">
        <f t="shared" si="23"/>
        <v>0</v>
      </c>
      <c r="AV22" s="2">
        <f t="shared" si="23"/>
        <v>0</v>
      </c>
      <c r="AW22" s="2">
        <f t="shared" si="23"/>
        <v>0</v>
      </c>
      <c r="AX22" s="2">
        <f t="shared" si="23"/>
        <v>0</v>
      </c>
      <c r="AY22" s="2">
        <f t="shared" si="23"/>
        <v>0</v>
      </c>
      <c r="AZ22" s="2">
        <f t="shared" si="23"/>
        <v>0</v>
      </c>
      <c r="BA22" s="2">
        <f t="shared" si="23"/>
        <v>0</v>
      </c>
      <c r="BB22" s="2">
        <f t="shared" si="23"/>
        <v>0</v>
      </c>
      <c r="BC22" s="2">
        <f t="shared" si="23"/>
        <v>0</v>
      </c>
      <c r="BD22" s="2">
        <f t="shared" si="23"/>
        <v>0</v>
      </c>
      <c r="BE22" s="2">
        <f t="shared" si="23"/>
        <v>0</v>
      </c>
      <c r="BF22" s="2">
        <f t="shared" si="23"/>
        <v>0</v>
      </c>
      <c r="BG22" s="2">
        <f t="shared" si="23"/>
        <v>0</v>
      </c>
      <c r="BH22" s="2">
        <f t="shared" si="23"/>
        <v>0</v>
      </c>
      <c r="BI22" s="2">
        <f t="shared" si="23"/>
        <v>0</v>
      </c>
      <c r="BJ22" s="2">
        <f t="shared" si="23"/>
        <v>0</v>
      </c>
      <c r="BK22" s="2">
        <f t="shared" si="23"/>
        <v>0</v>
      </c>
      <c r="BL22" s="2">
        <f t="shared" si="23"/>
        <v>0</v>
      </c>
      <c r="BM22" s="2">
        <f t="shared" si="23"/>
        <v>0</v>
      </c>
      <c r="BN22" s="2">
        <f t="shared" si="23"/>
        <v>0</v>
      </c>
      <c r="BO22" s="2">
        <f t="shared" si="23"/>
        <v>0</v>
      </c>
      <c r="BP22" s="2">
        <f t="shared" si="23"/>
        <v>0</v>
      </c>
      <c r="BQ22" s="2">
        <f t="shared" ref="BQ22:CM22" si="24">IF(OR(ISNA(BQ10),$D22=0),0,BQ10*$D22/$D10)</f>
        <v>0</v>
      </c>
      <c r="BR22" s="2">
        <f t="shared" si="24"/>
        <v>0</v>
      </c>
      <c r="BS22" s="2">
        <f t="shared" si="24"/>
        <v>0</v>
      </c>
      <c r="BT22" s="2">
        <f t="shared" si="24"/>
        <v>0</v>
      </c>
      <c r="BU22" s="2">
        <f t="shared" si="24"/>
        <v>0</v>
      </c>
      <c r="BV22" s="2">
        <f t="shared" si="24"/>
        <v>0</v>
      </c>
      <c r="BW22" s="2">
        <f t="shared" si="24"/>
        <v>0</v>
      </c>
      <c r="BX22" s="2">
        <f t="shared" si="24"/>
        <v>0</v>
      </c>
      <c r="BY22" s="2">
        <f t="shared" si="24"/>
        <v>0</v>
      </c>
      <c r="BZ22" s="2">
        <f t="shared" si="24"/>
        <v>0</v>
      </c>
      <c r="CA22" s="2">
        <f t="shared" si="24"/>
        <v>0</v>
      </c>
      <c r="CB22" s="2">
        <f t="shared" si="24"/>
        <v>0</v>
      </c>
      <c r="CC22" s="2">
        <f t="shared" si="24"/>
        <v>0</v>
      </c>
      <c r="CD22" s="2">
        <f t="shared" si="24"/>
        <v>0</v>
      </c>
      <c r="CE22" s="2">
        <f t="shared" si="24"/>
        <v>0</v>
      </c>
      <c r="CF22" s="2">
        <f t="shared" si="24"/>
        <v>0</v>
      </c>
      <c r="CG22" s="2">
        <f t="shared" si="24"/>
        <v>0</v>
      </c>
      <c r="CH22" s="2">
        <f t="shared" si="24"/>
        <v>0</v>
      </c>
      <c r="CI22" s="2">
        <f t="shared" si="24"/>
        <v>0</v>
      </c>
      <c r="CJ22" s="2">
        <f t="shared" si="24"/>
        <v>0</v>
      </c>
      <c r="CK22" s="2">
        <f t="shared" si="24"/>
        <v>0</v>
      </c>
      <c r="CL22" s="2">
        <f t="shared" si="24"/>
        <v>0</v>
      </c>
      <c r="CM22" s="2">
        <f t="shared" si="24"/>
        <v>0</v>
      </c>
    </row>
    <row r="23" spans="1:91">
      <c r="B23">
        <f t="shared" si="12"/>
        <v>0</v>
      </c>
      <c r="D23" s="6">
        <f>入力欄!D11</f>
        <v>0</v>
      </c>
      <c r="E23" s="2">
        <f t="shared" ref="E23:BP23" si="25">IF(OR(ISNA(E11),$D23=0),0,E11*$D23/$D11)</f>
        <v>0</v>
      </c>
      <c r="F23" s="2">
        <f t="shared" si="25"/>
        <v>0</v>
      </c>
      <c r="G23" s="2">
        <f t="shared" si="25"/>
        <v>0</v>
      </c>
      <c r="H23" s="2">
        <f t="shared" si="25"/>
        <v>0</v>
      </c>
      <c r="I23" s="2">
        <f t="shared" si="25"/>
        <v>0</v>
      </c>
      <c r="J23" s="2">
        <f t="shared" si="25"/>
        <v>0</v>
      </c>
      <c r="K23" s="2">
        <f t="shared" si="25"/>
        <v>0</v>
      </c>
      <c r="L23" s="2">
        <f t="shared" si="25"/>
        <v>0</v>
      </c>
      <c r="M23" s="2">
        <f t="shared" si="25"/>
        <v>0</v>
      </c>
      <c r="N23" s="2">
        <f t="shared" si="25"/>
        <v>0</v>
      </c>
      <c r="O23" s="2">
        <f t="shared" si="25"/>
        <v>0</v>
      </c>
      <c r="P23" s="2">
        <f t="shared" si="25"/>
        <v>0</v>
      </c>
      <c r="Q23" s="2">
        <f t="shared" si="25"/>
        <v>0</v>
      </c>
      <c r="R23" s="2">
        <f t="shared" si="25"/>
        <v>0</v>
      </c>
      <c r="S23" s="2">
        <f t="shared" si="25"/>
        <v>0</v>
      </c>
      <c r="T23" s="2">
        <f t="shared" si="25"/>
        <v>0</v>
      </c>
      <c r="U23" s="2">
        <f t="shared" si="25"/>
        <v>0</v>
      </c>
      <c r="V23" s="2">
        <f t="shared" si="25"/>
        <v>0</v>
      </c>
      <c r="W23" s="2">
        <f t="shared" si="25"/>
        <v>0</v>
      </c>
      <c r="X23" s="2">
        <f t="shared" si="25"/>
        <v>0</v>
      </c>
      <c r="Y23" s="2">
        <f t="shared" si="25"/>
        <v>0</v>
      </c>
      <c r="Z23" s="2">
        <f t="shared" si="25"/>
        <v>0</v>
      </c>
      <c r="AA23" s="2">
        <f t="shared" si="25"/>
        <v>0</v>
      </c>
      <c r="AB23" s="2">
        <f t="shared" si="25"/>
        <v>0</v>
      </c>
      <c r="AC23" s="2">
        <f t="shared" si="25"/>
        <v>0</v>
      </c>
      <c r="AD23" s="2">
        <f t="shared" si="25"/>
        <v>0</v>
      </c>
      <c r="AE23" s="2">
        <f t="shared" si="25"/>
        <v>0</v>
      </c>
      <c r="AF23" s="2">
        <f t="shared" si="25"/>
        <v>0</v>
      </c>
      <c r="AG23" s="2">
        <f t="shared" si="25"/>
        <v>0</v>
      </c>
      <c r="AH23" s="2">
        <f t="shared" si="25"/>
        <v>0</v>
      </c>
      <c r="AI23" s="2">
        <f t="shared" si="25"/>
        <v>0</v>
      </c>
      <c r="AJ23" s="2">
        <f t="shared" si="25"/>
        <v>0</v>
      </c>
      <c r="AK23" s="2">
        <f t="shared" si="25"/>
        <v>0</v>
      </c>
      <c r="AL23" s="2">
        <f t="shared" si="25"/>
        <v>0</v>
      </c>
      <c r="AM23" s="2">
        <f t="shared" si="25"/>
        <v>0</v>
      </c>
      <c r="AN23" s="2">
        <f t="shared" si="25"/>
        <v>0</v>
      </c>
      <c r="AO23" s="2">
        <f t="shared" si="25"/>
        <v>0</v>
      </c>
      <c r="AP23" s="2">
        <f t="shared" si="25"/>
        <v>0</v>
      </c>
      <c r="AQ23" s="2">
        <f t="shared" si="25"/>
        <v>0</v>
      </c>
      <c r="AR23" s="2">
        <f t="shared" si="25"/>
        <v>0</v>
      </c>
      <c r="AS23" s="2">
        <f t="shared" si="25"/>
        <v>0</v>
      </c>
      <c r="AT23" s="2">
        <f t="shared" si="25"/>
        <v>0</v>
      </c>
      <c r="AU23" s="2">
        <f t="shared" si="25"/>
        <v>0</v>
      </c>
      <c r="AV23" s="2">
        <f t="shared" si="25"/>
        <v>0</v>
      </c>
      <c r="AW23" s="2">
        <f t="shared" si="25"/>
        <v>0</v>
      </c>
      <c r="AX23" s="2">
        <f t="shared" si="25"/>
        <v>0</v>
      </c>
      <c r="AY23" s="2">
        <f t="shared" si="25"/>
        <v>0</v>
      </c>
      <c r="AZ23" s="2">
        <f t="shared" si="25"/>
        <v>0</v>
      </c>
      <c r="BA23" s="2">
        <f t="shared" si="25"/>
        <v>0</v>
      </c>
      <c r="BB23" s="2">
        <f t="shared" si="25"/>
        <v>0</v>
      </c>
      <c r="BC23" s="2">
        <f t="shared" si="25"/>
        <v>0</v>
      </c>
      <c r="BD23" s="2">
        <f t="shared" si="25"/>
        <v>0</v>
      </c>
      <c r="BE23" s="2">
        <f t="shared" si="25"/>
        <v>0</v>
      </c>
      <c r="BF23" s="2">
        <f t="shared" si="25"/>
        <v>0</v>
      </c>
      <c r="BG23" s="2">
        <f t="shared" si="25"/>
        <v>0</v>
      </c>
      <c r="BH23" s="2">
        <f t="shared" si="25"/>
        <v>0</v>
      </c>
      <c r="BI23" s="2">
        <f t="shared" si="25"/>
        <v>0</v>
      </c>
      <c r="BJ23" s="2">
        <f t="shared" si="25"/>
        <v>0</v>
      </c>
      <c r="BK23" s="2">
        <f t="shared" si="25"/>
        <v>0</v>
      </c>
      <c r="BL23" s="2">
        <f t="shared" si="25"/>
        <v>0</v>
      </c>
      <c r="BM23" s="2">
        <f t="shared" si="25"/>
        <v>0</v>
      </c>
      <c r="BN23" s="2">
        <f t="shared" si="25"/>
        <v>0</v>
      </c>
      <c r="BO23" s="2">
        <f t="shared" si="25"/>
        <v>0</v>
      </c>
      <c r="BP23" s="2">
        <f t="shared" si="25"/>
        <v>0</v>
      </c>
      <c r="BQ23" s="2">
        <f t="shared" ref="BQ23:CM23" si="26">IF(OR(ISNA(BQ11),$D23=0),0,BQ11*$D23/$D11)</f>
        <v>0</v>
      </c>
      <c r="BR23" s="2">
        <f t="shared" si="26"/>
        <v>0</v>
      </c>
      <c r="BS23" s="2">
        <f t="shared" si="26"/>
        <v>0</v>
      </c>
      <c r="BT23" s="2">
        <f t="shared" si="26"/>
        <v>0</v>
      </c>
      <c r="BU23" s="2">
        <f t="shared" si="26"/>
        <v>0</v>
      </c>
      <c r="BV23" s="2">
        <f t="shared" si="26"/>
        <v>0</v>
      </c>
      <c r="BW23" s="2">
        <f t="shared" si="26"/>
        <v>0</v>
      </c>
      <c r="BX23" s="2">
        <f t="shared" si="26"/>
        <v>0</v>
      </c>
      <c r="BY23" s="2">
        <f t="shared" si="26"/>
        <v>0</v>
      </c>
      <c r="BZ23" s="2">
        <f t="shared" si="26"/>
        <v>0</v>
      </c>
      <c r="CA23" s="2">
        <f t="shared" si="26"/>
        <v>0</v>
      </c>
      <c r="CB23" s="2">
        <f t="shared" si="26"/>
        <v>0</v>
      </c>
      <c r="CC23" s="2">
        <f t="shared" si="26"/>
        <v>0</v>
      </c>
      <c r="CD23" s="2">
        <f t="shared" si="26"/>
        <v>0</v>
      </c>
      <c r="CE23" s="2">
        <f t="shared" si="26"/>
        <v>0</v>
      </c>
      <c r="CF23" s="2">
        <f t="shared" si="26"/>
        <v>0</v>
      </c>
      <c r="CG23" s="2">
        <f t="shared" si="26"/>
        <v>0</v>
      </c>
      <c r="CH23" s="2">
        <f t="shared" si="26"/>
        <v>0</v>
      </c>
      <c r="CI23" s="2">
        <f t="shared" si="26"/>
        <v>0</v>
      </c>
      <c r="CJ23" s="2">
        <f t="shared" si="26"/>
        <v>0</v>
      </c>
      <c r="CK23" s="2">
        <f t="shared" si="26"/>
        <v>0</v>
      </c>
      <c r="CL23" s="2">
        <f t="shared" si="26"/>
        <v>0</v>
      </c>
      <c r="CM23" s="2">
        <f t="shared" si="26"/>
        <v>0</v>
      </c>
    </row>
    <row r="24" spans="1:91">
      <c r="B24">
        <f t="shared" si="12"/>
        <v>0</v>
      </c>
      <c r="D24" s="6">
        <f>入力欄!D12</f>
        <v>0</v>
      </c>
      <c r="E24" s="2">
        <f t="shared" ref="E24:BP24" si="27">IF(OR(ISNA(E12),$D24=0),0,E12*$D24/$D12)</f>
        <v>0</v>
      </c>
      <c r="F24" s="2">
        <f t="shared" si="27"/>
        <v>0</v>
      </c>
      <c r="G24" s="2">
        <f t="shared" si="27"/>
        <v>0</v>
      </c>
      <c r="H24" s="2">
        <f t="shared" si="27"/>
        <v>0</v>
      </c>
      <c r="I24" s="2">
        <f t="shared" si="27"/>
        <v>0</v>
      </c>
      <c r="J24" s="2">
        <f t="shared" si="27"/>
        <v>0</v>
      </c>
      <c r="K24" s="2">
        <f t="shared" si="27"/>
        <v>0</v>
      </c>
      <c r="L24" s="2">
        <f t="shared" si="27"/>
        <v>0</v>
      </c>
      <c r="M24" s="2">
        <f t="shared" si="27"/>
        <v>0</v>
      </c>
      <c r="N24" s="2">
        <f t="shared" si="27"/>
        <v>0</v>
      </c>
      <c r="O24" s="2">
        <f t="shared" si="27"/>
        <v>0</v>
      </c>
      <c r="P24" s="2">
        <f t="shared" si="27"/>
        <v>0</v>
      </c>
      <c r="Q24" s="2">
        <f t="shared" si="27"/>
        <v>0</v>
      </c>
      <c r="R24" s="2">
        <f t="shared" si="27"/>
        <v>0</v>
      </c>
      <c r="S24" s="2">
        <f t="shared" si="27"/>
        <v>0</v>
      </c>
      <c r="T24" s="2">
        <f t="shared" si="27"/>
        <v>0</v>
      </c>
      <c r="U24" s="2">
        <f t="shared" si="27"/>
        <v>0</v>
      </c>
      <c r="V24" s="2">
        <f t="shared" si="27"/>
        <v>0</v>
      </c>
      <c r="W24" s="2">
        <f t="shared" si="27"/>
        <v>0</v>
      </c>
      <c r="X24" s="2">
        <f t="shared" si="27"/>
        <v>0</v>
      </c>
      <c r="Y24" s="2">
        <f t="shared" si="27"/>
        <v>0</v>
      </c>
      <c r="Z24" s="2">
        <f t="shared" si="27"/>
        <v>0</v>
      </c>
      <c r="AA24" s="2">
        <f t="shared" si="27"/>
        <v>0</v>
      </c>
      <c r="AB24" s="2">
        <f t="shared" si="27"/>
        <v>0</v>
      </c>
      <c r="AC24" s="2">
        <f t="shared" si="27"/>
        <v>0</v>
      </c>
      <c r="AD24" s="2">
        <f t="shared" si="27"/>
        <v>0</v>
      </c>
      <c r="AE24" s="2">
        <f t="shared" si="27"/>
        <v>0</v>
      </c>
      <c r="AF24" s="2">
        <f t="shared" si="27"/>
        <v>0</v>
      </c>
      <c r="AG24" s="2">
        <f t="shared" si="27"/>
        <v>0</v>
      </c>
      <c r="AH24" s="2">
        <f t="shared" si="27"/>
        <v>0</v>
      </c>
      <c r="AI24" s="2">
        <f t="shared" si="27"/>
        <v>0</v>
      </c>
      <c r="AJ24" s="2">
        <f t="shared" si="27"/>
        <v>0</v>
      </c>
      <c r="AK24" s="2">
        <f t="shared" si="27"/>
        <v>0</v>
      </c>
      <c r="AL24" s="2">
        <f t="shared" si="27"/>
        <v>0</v>
      </c>
      <c r="AM24" s="2">
        <f t="shared" si="27"/>
        <v>0</v>
      </c>
      <c r="AN24" s="2">
        <f t="shared" si="27"/>
        <v>0</v>
      </c>
      <c r="AO24" s="2">
        <f t="shared" si="27"/>
        <v>0</v>
      </c>
      <c r="AP24" s="2">
        <f t="shared" si="27"/>
        <v>0</v>
      </c>
      <c r="AQ24" s="2">
        <f t="shared" si="27"/>
        <v>0</v>
      </c>
      <c r="AR24" s="2">
        <f t="shared" si="27"/>
        <v>0</v>
      </c>
      <c r="AS24" s="2">
        <f t="shared" si="27"/>
        <v>0</v>
      </c>
      <c r="AT24" s="2">
        <f t="shared" si="27"/>
        <v>0</v>
      </c>
      <c r="AU24" s="2">
        <f t="shared" si="27"/>
        <v>0</v>
      </c>
      <c r="AV24" s="2">
        <f t="shared" si="27"/>
        <v>0</v>
      </c>
      <c r="AW24" s="2">
        <f t="shared" si="27"/>
        <v>0</v>
      </c>
      <c r="AX24" s="2">
        <f t="shared" si="27"/>
        <v>0</v>
      </c>
      <c r="AY24" s="2">
        <f t="shared" si="27"/>
        <v>0</v>
      </c>
      <c r="AZ24" s="2">
        <f t="shared" si="27"/>
        <v>0</v>
      </c>
      <c r="BA24" s="2">
        <f t="shared" si="27"/>
        <v>0</v>
      </c>
      <c r="BB24" s="2">
        <f t="shared" si="27"/>
        <v>0</v>
      </c>
      <c r="BC24" s="2">
        <f t="shared" si="27"/>
        <v>0</v>
      </c>
      <c r="BD24" s="2">
        <f t="shared" si="27"/>
        <v>0</v>
      </c>
      <c r="BE24" s="2">
        <f t="shared" si="27"/>
        <v>0</v>
      </c>
      <c r="BF24" s="2">
        <f t="shared" si="27"/>
        <v>0</v>
      </c>
      <c r="BG24" s="2">
        <f t="shared" si="27"/>
        <v>0</v>
      </c>
      <c r="BH24" s="2">
        <f t="shared" si="27"/>
        <v>0</v>
      </c>
      <c r="BI24" s="2">
        <f t="shared" si="27"/>
        <v>0</v>
      </c>
      <c r="BJ24" s="2">
        <f t="shared" si="27"/>
        <v>0</v>
      </c>
      <c r="BK24" s="2">
        <f t="shared" si="27"/>
        <v>0</v>
      </c>
      <c r="BL24" s="2">
        <f t="shared" si="27"/>
        <v>0</v>
      </c>
      <c r="BM24" s="2">
        <f t="shared" si="27"/>
        <v>0</v>
      </c>
      <c r="BN24" s="2">
        <f t="shared" si="27"/>
        <v>0</v>
      </c>
      <c r="BO24" s="2">
        <f t="shared" si="27"/>
        <v>0</v>
      </c>
      <c r="BP24" s="2">
        <f t="shared" si="27"/>
        <v>0</v>
      </c>
      <c r="BQ24" s="2">
        <f t="shared" ref="BQ24:CM24" si="28">IF(OR(ISNA(BQ12),$D24=0),0,BQ12*$D24/$D12)</f>
        <v>0</v>
      </c>
      <c r="BR24" s="2">
        <f t="shared" si="28"/>
        <v>0</v>
      </c>
      <c r="BS24" s="2">
        <f t="shared" si="28"/>
        <v>0</v>
      </c>
      <c r="BT24" s="2">
        <f t="shared" si="28"/>
        <v>0</v>
      </c>
      <c r="BU24" s="2">
        <f t="shared" si="28"/>
        <v>0</v>
      </c>
      <c r="BV24" s="2">
        <f t="shared" si="28"/>
        <v>0</v>
      </c>
      <c r="BW24" s="2">
        <f t="shared" si="28"/>
        <v>0</v>
      </c>
      <c r="BX24" s="2">
        <f t="shared" si="28"/>
        <v>0</v>
      </c>
      <c r="BY24" s="2">
        <f t="shared" si="28"/>
        <v>0</v>
      </c>
      <c r="BZ24" s="2">
        <f t="shared" si="28"/>
        <v>0</v>
      </c>
      <c r="CA24" s="2">
        <f t="shared" si="28"/>
        <v>0</v>
      </c>
      <c r="CB24" s="2">
        <f t="shared" si="28"/>
        <v>0</v>
      </c>
      <c r="CC24" s="2">
        <f t="shared" si="28"/>
        <v>0</v>
      </c>
      <c r="CD24" s="2">
        <f t="shared" si="28"/>
        <v>0</v>
      </c>
      <c r="CE24" s="2">
        <f t="shared" si="28"/>
        <v>0</v>
      </c>
      <c r="CF24" s="2">
        <f t="shared" si="28"/>
        <v>0</v>
      </c>
      <c r="CG24" s="2">
        <f t="shared" si="28"/>
        <v>0</v>
      </c>
      <c r="CH24" s="2">
        <f t="shared" si="28"/>
        <v>0</v>
      </c>
      <c r="CI24" s="2">
        <f t="shared" si="28"/>
        <v>0</v>
      </c>
      <c r="CJ24" s="2">
        <f t="shared" si="28"/>
        <v>0</v>
      </c>
      <c r="CK24" s="2">
        <f t="shared" si="28"/>
        <v>0</v>
      </c>
      <c r="CL24" s="2">
        <f t="shared" si="28"/>
        <v>0</v>
      </c>
      <c r="CM24" s="2">
        <f t="shared" si="28"/>
        <v>0</v>
      </c>
    </row>
    <row r="25" spans="1:91">
      <c r="B25">
        <f t="shared" si="12"/>
        <v>0</v>
      </c>
      <c r="D25" s="6">
        <f>入力欄!D13</f>
        <v>0</v>
      </c>
      <c r="E25" s="2">
        <f t="shared" ref="E25:BP25" si="29">IF(OR(ISNA(E13),$D25=0),0,E13*$D25/$D13)</f>
        <v>0</v>
      </c>
      <c r="F25" s="2">
        <f t="shared" si="29"/>
        <v>0</v>
      </c>
      <c r="G25" s="2">
        <f t="shared" si="29"/>
        <v>0</v>
      </c>
      <c r="H25" s="2">
        <f t="shared" si="29"/>
        <v>0</v>
      </c>
      <c r="I25" s="2">
        <f t="shared" si="29"/>
        <v>0</v>
      </c>
      <c r="J25" s="2">
        <f t="shared" si="29"/>
        <v>0</v>
      </c>
      <c r="K25" s="2">
        <f t="shared" si="29"/>
        <v>0</v>
      </c>
      <c r="L25" s="2">
        <f t="shared" si="29"/>
        <v>0</v>
      </c>
      <c r="M25" s="2">
        <f t="shared" si="29"/>
        <v>0</v>
      </c>
      <c r="N25" s="2">
        <f t="shared" si="29"/>
        <v>0</v>
      </c>
      <c r="O25" s="2">
        <f t="shared" si="29"/>
        <v>0</v>
      </c>
      <c r="P25" s="2">
        <f t="shared" si="29"/>
        <v>0</v>
      </c>
      <c r="Q25" s="2">
        <f t="shared" si="29"/>
        <v>0</v>
      </c>
      <c r="R25" s="2">
        <f t="shared" si="29"/>
        <v>0</v>
      </c>
      <c r="S25" s="2">
        <f t="shared" si="29"/>
        <v>0</v>
      </c>
      <c r="T25" s="2">
        <f t="shared" si="29"/>
        <v>0</v>
      </c>
      <c r="U25" s="2">
        <f t="shared" si="29"/>
        <v>0</v>
      </c>
      <c r="V25" s="2">
        <f t="shared" si="29"/>
        <v>0</v>
      </c>
      <c r="W25" s="2">
        <f t="shared" si="29"/>
        <v>0</v>
      </c>
      <c r="X25" s="2">
        <f t="shared" si="29"/>
        <v>0</v>
      </c>
      <c r="Y25" s="2">
        <f t="shared" si="29"/>
        <v>0</v>
      </c>
      <c r="Z25" s="2">
        <f t="shared" si="29"/>
        <v>0</v>
      </c>
      <c r="AA25" s="2">
        <f t="shared" si="29"/>
        <v>0</v>
      </c>
      <c r="AB25" s="2">
        <f t="shared" si="29"/>
        <v>0</v>
      </c>
      <c r="AC25" s="2">
        <f t="shared" si="29"/>
        <v>0</v>
      </c>
      <c r="AD25" s="2">
        <f t="shared" si="29"/>
        <v>0</v>
      </c>
      <c r="AE25" s="2">
        <f t="shared" si="29"/>
        <v>0</v>
      </c>
      <c r="AF25" s="2">
        <f t="shared" si="29"/>
        <v>0</v>
      </c>
      <c r="AG25" s="2">
        <f t="shared" si="29"/>
        <v>0</v>
      </c>
      <c r="AH25" s="2">
        <f t="shared" si="29"/>
        <v>0</v>
      </c>
      <c r="AI25" s="2">
        <f t="shared" si="29"/>
        <v>0</v>
      </c>
      <c r="AJ25" s="2">
        <f t="shared" si="29"/>
        <v>0</v>
      </c>
      <c r="AK25" s="2">
        <f t="shared" si="29"/>
        <v>0</v>
      </c>
      <c r="AL25" s="2">
        <f t="shared" si="29"/>
        <v>0</v>
      </c>
      <c r="AM25" s="2">
        <f t="shared" si="29"/>
        <v>0</v>
      </c>
      <c r="AN25" s="2">
        <f t="shared" si="29"/>
        <v>0</v>
      </c>
      <c r="AO25" s="2">
        <f t="shared" si="29"/>
        <v>0</v>
      </c>
      <c r="AP25" s="2">
        <f t="shared" si="29"/>
        <v>0</v>
      </c>
      <c r="AQ25" s="2">
        <f t="shared" si="29"/>
        <v>0</v>
      </c>
      <c r="AR25" s="2">
        <f t="shared" si="29"/>
        <v>0</v>
      </c>
      <c r="AS25" s="2">
        <f t="shared" si="29"/>
        <v>0</v>
      </c>
      <c r="AT25" s="2">
        <f t="shared" si="29"/>
        <v>0</v>
      </c>
      <c r="AU25" s="2">
        <f t="shared" si="29"/>
        <v>0</v>
      </c>
      <c r="AV25" s="2">
        <f t="shared" si="29"/>
        <v>0</v>
      </c>
      <c r="AW25" s="2">
        <f t="shared" si="29"/>
        <v>0</v>
      </c>
      <c r="AX25" s="2">
        <f t="shared" si="29"/>
        <v>0</v>
      </c>
      <c r="AY25" s="2">
        <f t="shared" si="29"/>
        <v>0</v>
      </c>
      <c r="AZ25" s="2">
        <f t="shared" si="29"/>
        <v>0</v>
      </c>
      <c r="BA25" s="2">
        <f t="shared" si="29"/>
        <v>0</v>
      </c>
      <c r="BB25" s="2">
        <f t="shared" si="29"/>
        <v>0</v>
      </c>
      <c r="BC25" s="2">
        <f t="shared" si="29"/>
        <v>0</v>
      </c>
      <c r="BD25" s="2">
        <f t="shared" si="29"/>
        <v>0</v>
      </c>
      <c r="BE25" s="2">
        <f t="shared" si="29"/>
        <v>0</v>
      </c>
      <c r="BF25" s="2">
        <f t="shared" si="29"/>
        <v>0</v>
      </c>
      <c r="BG25" s="2">
        <f t="shared" si="29"/>
        <v>0</v>
      </c>
      <c r="BH25" s="2">
        <f t="shared" si="29"/>
        <v>0</v>
      </c>
      <c r="BI25" s="2">
        <f t="shared" si="29"/>
        <v>0</v>
      </c>
      <c r="BJ25" s="2">
        <f t="shared" si="29"/>
        <v>0</v>
      </c>
      <c r="BK25" s="2">
        <f t="shared" si="29"/>
        <v>0</v>
      </c>
      <c r="BL25" s="2">
        <f t="shared" si="29"/>
        <v>0</v>
      </c>
      <c r="BM25" s="2">
        <f t="shared" si="29"/>
        <v>0</v>
      </c>
      <c r="BN25" s="2">
        <f t="shared" si="29"/>
        <v>0</v>
      </c>
      <c r="BO25" s="2">
        <f t="shared" si="29"/>
        <v>0</v>
      </c>
      <c r="BP25" s="2">
        <f t="shared" si="29"/>
        <v>0</v>
      </c>
      <c r="BQ25" s="2">
        <f t="shared" ref="BQ25:CM25" si="30">IF(OR(ISNA(BQ13),$D25=0),0,BQ13*$D25/$D13)</f>
        <v>0</v>
      </c>
      <c r="BR25" s="2">
        <f t="shared" si="30"/>
        <v>0</v>
      </c>
      <c r="BS25" s="2">
        <f t="shared" si="30"/>
        <v>0</v>
      </c>
      <c r="BT25" s="2">
        <f t="shared" si="30"/>
        <v>0</v>
      </c>
      <c r="BU25" s="2">
        <f t="shared" si="30"/>
        <v>0</v>
      </c>
      <c r="BV25" s="2">
        <f t="shared" si="30"/>
        <v>0</v>
      </c>
      <c r="BW25" s="2">
        <f t="shared" si="30"/>
        <v>0</v>
      </c>
      <c r="BX25" s="2">
        <f t="shared" si="30"/>
        <v>0</v>
      </c>
      <c r="BY25" s="2">
        <f t="shared" si="30"/>
        <v>0</v>
      </c>
      <c r="BZ25" s="2">
        <f t="shared" si="30"/>
        <v>0</v>
      </c>
      <c r="CA25" s="2">
        <f t="shared" si="30"/>
        <v>0</v>
      </c>
      <c r="CB25" s="2">
        <f t="shared" si="30"/>
        <v>0</v>
      </c>
      <c r="CC25" s="2">
        <f t="shared" si="30"/>
        <v>0</v>
      </c>
      <c r="CD25" s="2">
        <f t="shared" si="30"/>
        <v>0</v>
      </c>
      <c r="CE25" s="2">
        <f t="shared" si="30"/>
        <v>0</v>
      </c>
      <c r="CF25" s="2">
        <f t="shared" si="30"/>
        <v>0</v>
      </c>
      <c r="CG25" s="2">
        <f t="shared" si="30"/>
        <v>0</v>
      </c>
      <c r="CH25" s="2">
        <f t="shared" si="30"/>
        <v>0</v>
      </c>
      <c r="CI25" s="2">
        <f t="shared" si="30"/>
        <v>0</v>
      </c>
      <c r="CJ25" s="2">
        <f t="shared" si="30"/>
        <v>0</v>
      </c>
      <c r="CK25" s="2">
        <f t="shared" si="30"/>
        <v>0</v>
      </c>
      <c r="CL25" s="2">
        <f t="shared" si="30"/>
        <v>0</v>
      </c>
      <c r="CM25" s="2">
        <f t="shared" si="30"/>
        <v>0</v>
      </c>
    </row>
    <row r="26" spans="1:91">
      <c r="B26">
        <f t="shared" si="12"/>
        <v>0</v>
      </c>
      <c r="D26" s="6">
        <f>入力欄!D14</f>
        <v>0</v>
      </c>
      <c r="E26" s="2">
        <f t="shared" ref="E26" si="31">IF(OR(ISNA(E14),$D26=0),0,E14*$D26/$D14)</f>
        <v>0</v>
      </c>
      <c r="F26" s="2">
        <f t="shared" ref="F26:BQ26" si="32">IF(OR(ISNA(F14),$D26=0),0,F14*$D26/$D14)</f>
        <v>0</v>
      </c>
      <c r="G26" s="2">
        <f t="shared" si="32"/>
        <v>0</v>
      </c>
      <c r="H26" s="2">
        <f t="shared" si="32"/>
        <v>0</v>
      </c>
      <c r="I26" s="2">
        <f t="shared" si="32"/>
        <v>0</v>
      </c>
      <c r="J26" s="2">
        <f t="shared" si="32"/>
        <v>0</v>
      </c>
      <c r="K26" s="2">
        <f t="shared" si="32"/>
        <v>0</v>
      </c>
      <c r="L26" s="2">
        <f t="shared" si="32"/>
        <v>0</v>
      </c>
      <c r="M26" s="2">
        <f t="shared" si="32"/>
        <v>0</v>
      </c>
      <c r="N26" s="2">
        <f t="shared" si="32"/>
        <v>0</v>
      </c>
      <c r="O26" s="2">
        <f t="shared" si="32"/>
        <v>0</v>
      </c>
      <c r="P26" s="2">
        <f t="shared" si="32"/>
        <v>0</v>
      </c>
      <c r="Q26" s="2">
        <f t="shared" si="32"/>
        <v>0</v>
      </c>
      <c r="R26" s="2">
        <f t="shared" si="32"/>
        <v>0</v>
      </c>
      <c r="S26" s="2">
        <f t="shared" si="32"/>
        <v>0</v>
      </c>
      <c r="T26" s="2">
        <f t="shared" si="32"/>
        <v>0</v>
      </c>
      <c r="U26" s="2">
        <f t="shared" si="32"/>
        <v>0</v>
      </c>
      <c r="V26" s="2">
        <f t="shared" si="32"/>
        <v>0</v>
      </c>
      <c r="W26" s="2">
        <f t="shared" si="32"/>
        <v>0</v>
      </c>
      <c r="X26" s="2">
        <f t="shared" si="32"/>
        <v>0</v>
      </c>
      <c r="Y26" s="2">
        <f t="shared" si="32"/>
        <v>0</v>
      </c>
      <c r="Z26" s="2">
        <f t="shared" si="32"/>
        <v>0</v>
      </c>
      <c r="AA26" s="2">
        <f t="shared" si="32"/>
        <v>0</v>
      </c>
      <c r="AB26" s="2">
        <f t="shared" si="32"/>
        <v>0</v>
      </c>
      <c r="AC26" s="2">
        <f t="shared" si="32"/>
        <v>0</v>
      </c>
      <c r="AD26" s="2">
        <f t="shared" si="32"/>
        <v>0</v>
      </c>
      <c r="AE26" s="2">
        <f t="shared" si="32"/>
        <v>0</v>
      </c>
      <c r="AF26" s="2">
        <f t="shared" si="32"/>
        <v>0</v>
      </c>
      <c r="AG26" s="2">
        <f t="shared" si="32"/>
        <v>0</v>
      </c>
      <c r="AH26" s="2">
        <f t="shared" si="32"/>
        <v>0</v>
      </c>
      <c r="AI26" s="2">
        <f t="shared" si="32"/>
        <v>0</v>
      </c>
      <c r="AJ26" s="2">
        <f t="shared" si="32"/>
        <v>0</v>
      </c>
      <c r="AK26" s="2">
        <f t="shared" si="32"/>
        <v>0</v>
      </c>
      <c r="AL26" s="2">
        <f t="shared" si="32"/>
        <v>0</v>
      </c>
      <c r="AM26" s="2">
        <f t="shared" si="32"/>
        <v>0</v>
      </c>
      <c r="AN26" s="2">
        <f t="shared" si="32"/>
        <v>0</v>
      </c>
      <c r="AO26" s="2">
        <f t="shared" si="32"/>
        <v>0</v>
      </c>
      <c r="AP26" s="2">
        <f t="shared" si="32"/>
        <v>0</v>
      </c>
      <c r="AQ26" s="2">
        <f t="shared" si="32"/>
        <v>0</v>
      </c>
      <c r="AR26" s="2">
        <f t="shared" si="32"/>
        <v>0</v>
      </c>
      <c r="AS26" s="2">
        <f t="shared" si="32"/>
        <v>0</v>
      </c>
      <c r="AT26" s="2">
        <f t="shared" si="32"/>
        <v>0</v>
      </c>
      <c r="AU26" s="2">
        <f t="shared" si="32"/>
        <v>0</v>
      </c>
      <c r="AV26" s="2">
        <f t="shared" si="32"/>
        <v>0</v>
      </c>
      <c r="AW26" s="2">
        <f t="shared" si="32"/>
        <v>0</v>
      </c>
      <c r="AX26" s="2">
        <f t="shared" si="32"/>
        <v>0</v>
      </c>
      <c r="AY26" s="2">
        <f t="shared" si="32"/>
        <v>0</v>
      </c>
      <c r="AZ26" s="2">
        <f t="shared" si="32"/>
        <v>0</v>
      </c>
      <c r="BA26" s="2">
        <f t="shared" si="32"/>
        <v>0</v>
      </c>
      <c r="BB26" s="2">
        <f t="shared" si="32"/>
        <v>0</v>
      </c>
      <c r="BC26" s="2">
        <f t="shared" si="32"/>
        <v>0</v>
      </c>
      <c r="BD26" s="2">
        <f t="shared" si="32"/>
        <v>0</v>
      </c>
      <c r="BE26" s="2">
        <f t="shared" si="32"/>
        <v>0</v>
      </c>
      <c r="BF26" s="2">
        <f t="shared" si="32"/>
        <v>0</v>
      </c>
      <c r="BG26" s="2">
        <f t="shared" si="32"/>
        <v>0</v>
      </c>
      <c r="BH26" s="2">
        <f t="shared" si="32"/>
        <v>0</v>
      </c>
      <c r="BI26" s="2">
        <f t="shared" si="32"/>
        <v>0</v>
      </c>
      <c r="BJ26" s="2">
        <f t="shared" si="32"/>
        <v>0</v>
      </c>
      <c r="BK26" s="2">
        <f t="shared" si="32"/>
        <v>0</v>
      </c>
      <c r="BL26" s="2">
        <f t="shared" si="32"/>
        <v>0</v>
      </c>
      <c r="BM26" s="2">
        <f t="shared" si="32"/>
        <v>0</v>
      </c>
      <c r="BN26" s="2">
        <f t="shared" si="32"/>
        <v>0</v>
      </c>
      <c r="BO26" s="2">
        <f t="shared" si="32"/>
        <v>0</v>
      </c>
      <c r="BP26" s="2">
        <f t="shared" si="32"/>
        <v>0</v>
      </c>
      <c r="BQ26" s="2">
        <f t="shared" si="32"/>
        <v>0</v>
      </c>
      <c r="BR26" s="2">
        <f t="shared" ref="BR26:CM26" si="33">IF(OR(ISNA(BR14),$D26=0),0,BR14*$D26/$D14)</f>
        <v>0</v>
      </c>
      <c r="BS26" s="2">
        <f t="shared" si="33"/>
        <v>0</v>
      </c>
      <c r="BT26" s="2">
        <f t="shared" si="33"/>
        <v>0</v>
      </c>
      <c r="BU26" s="2">
        <f t="shared" si="33"/>
        <v>0</v>
      </c>
      <c r="BV26" s="2">
        <f t="shared" si="33"/>
        <v>0</v>
      </c>
      <c r="BW26" s="2">
        <f t="shared" si="33"/>
        <v>0</v>
      </c>
      <c r="BX26" s="2">
        <f t="shared" si="33"/>
        <v>0</v>
      </c>
      <c r="BY26" s="2">
        <f t="shared" si="33"/>
        <v>0</v>
      </c>
      <c r="BZ26" s="2">
        <f t="shared" si="33"/>
        <v>0</v>
      </c>
      <c r="CA26" s="2">
        <f t="shared" si="33"/>
        <v>0</v>
      </c>
      <c r="CB26" s="2">
        <f t="shared" si="33"/>
        <v>0</v>
      </c>
      <c r="CC26" s="2">
        <f t="shared" si="33"/>
        <v>0</v>
      </c>
      <c r="CD26" s="2">
        <f t="shared" si="33"/>
        <v>0</v>
      </c>
      <c r="CE26" s="2">
        <f t="shared" si="33"/>
        <v>0</v>
      </c>
      <c r="CF26" s="2">
        <f t="shared" si="33"/>
        <v>0</v>
      </c>
      <c r="CG26" s="2">
        <f t="shared" si="33"/>
        <v>0</v>
      </c>
      <c r="CH26" s="2">
        <f t="shared" si="33"/>
        <v>0</v>
      </c>
      <c r="CI26" s="2">
        <f t="shared" si="33"/>
        <v>0</v>
      </c>
      <c r="CJ26" s="2">
        <f t="shared" si="33"/>
        <v>0</v>
      </c>
      <c r="CK26" s="2">
        <f t="shared" si="33"/>
        <v>0</v>
      </c>
      <c r="CL26" s="2">
        <f t="shared" si="33"/>
        <v>0</v>
      </c>
      <c r="CM26" s="2">
        <f t="shared" si="33"/>
        <v>0</v>
      </c>
    </row>
    <row r="27" spans="1:91">
      <c r="B27">
        <f t="shared" si="12"/>
        <v>0</v>
      </c>
      <c r="D27" s="6">
        <f>入力欄!D15</f>
        <v>0</v>
      </c>
      <c r="E27" s="2">
        <f t="shared" ref="E27:BP27" si="34">IF(OR(ISNA(E15),$D27=0),0,E15*$D27/$D15)</f>
        <v>0</v>
      </c>
      <c r="F27" s="2">
        <f t="shared" si="34"/>
        <v>0</v>
      </c>
      <c r="G27" s="2">
        <f t="shared" si="34"/>
        <v>0</v>
      </c>
      <c r="H27" s="2">
        <f t="shared" si="34"/>
        <v>0</v>
      </c>
      <c r="I27" s="2">
        <f t="shared" si="34"/>
        <v>0</v>
      </c>
      <c r="J27" s="2">
        <f t="shared" si="34"/>
        <v>0</v>
      </c>
      <c r="K27" s="2">
        <f t="shared" si="34"/>
        <v>0</v>
      </c>
      <c r="L27" s="2">
        <f t="shared" si="34"/>
        <v>0</v>
      </c>
      <c r="M27" s="2">
        <f t="shared" si="34"/>
        <v>0</v>
      </c>
      <c r="N27" s="2">
        <f t="shared" si="34"/>
        <v>0</v>
      </c>
      <c r="O27" s="2">
        <f t="shared" si="34"/>
        <v>0</v>
      </c>
      <c r="P27" s="2">
        <f t="shared" si="34"/>
        <v>0</v>
      </c>
      <c r="Q27" s="2">
        <f t="shared" si="34"/>
        <v>0</v>
      </c>
      <c r="R27" s="2">
        <f t="shared" si="34"/>
        <v>0</v>
      </c>
      <c r="S27" s="2">
        <f t="shared" si="34"/>
        <v>0</v>
      </c>
      <c r="T27" s="2">
        <f t="shared" si="34"/>
        <v>0</v>
      </c>
      <c r="U27" s="2">
        <f t="shared" si="34"/>
        <v>0</v>
      </c>
      <c r="V27" s="2">
        <f t="shared" si="34"/>
        <v>0</v>
      </c>
      <c r="W27" s="2">
        <f t="shared" si="34"/>
        <v>0</v>
      </c>
      <c r="X27" s="2">
        <f t="shared" si="34"/>
        <v>0</v>
      </c>
      <c r="Y27" s="2">
        <f t="shared" si="34"/>
        <v>0</v>
      </c>
      <c r="Z27" s="2">
        <f t="shared" si="34"/>
        <v>0</v>
      </c>
      <c r="AA27" s="2">
        <f t="shared" si="34"/>
        <v>0</v>
      </c>
      <c r="AB27" s="2">
        <f t="shared" si="34"/>
        <v>0</v>
      </c>
      <c r="AC27" s="2">
        <f t="shared" si="34"/>
        <v>0</v>
      </c>
      <c r="AD27" s="2">
        <f t="shared" si="34"/>
        <v>0</v>
      </c>
      <c r="AE27" s="2">
        <f t="shared" si="34"/>
        <v>0</v>
      </c>
      <c r="AF27" s="2">
        <f t="shared" si="34"/>
        <v>0</v>
      </c>
      <c r="AG27" s="2">
        <f t="shared" si="34"/>
        <v>0</v>
      </c>
      <c r="AH27" s="2">
        <f t="shared" si="34"/>
        <v>0</v>
      </c>
      <c r="AI27" s="2">
        <f t="shared" si="34"/>
        <v>0</v>
      </c>
      <c r="AJ27" s="2">
        <f t="shared" si="34"/>
        <v>0</v>
      </c>
      <c r="AK27" s="2">
        <f t="shared" si="34"/>
        <v>0</v>
      </c>
      <c r="AL27" s="2">
        <f t="shared" si="34"/>
        <v>0</v>
      </c>
      <c r="AM27" s="2">
        <f t="shared" si="34"/>
        <v>0</v>
      </c>
      <c r="AN27" s="2">
        <f t="shared" si="34"/>
        <v>0</v>
      </c>
      <c r="AO27" s="2">
        <f t="shared" si="34"/>
        <v>0</v>
      </c>
      <c r="AP27" s="2">
        <f t="shared" si="34"/>
        <v>0</v>
      </c>
      <c r="AQ27" s="2">
        <f t="shared" si="34"/>
        <v>0</v>
      </c>
      <c r="AR27" s="2">
        <f t="shared" si="34"/>
        <v>0</v>
      </c>
      <c r="AS27" s="2">
        <f t="shared" si="34"/>
        <v>0</v>
      </c>
      <c r="AT27" s="2">
        <f t="shared" si="34"/>
        <v>0</v>
      </c>
      <c r="AU27" s="2">
        <f t="shared" si="34"/>
        <v>0</v>
      </c>
      <c r="AV27" s="2">
        <f t="shared" si="34"/>
        <v>0</v>
      </c>
      <c r="AW27" s="2">
        <f t="shared" si="34"/>
        <v>0</v>
      </c>
      <c r="AX27" s="2">
        <f t="shared" si="34"/>
        <v>0</v>
      </c>
      <c r="AY27" s="2">
        <f t="shared" si="34"/>
        <v>0</v>
      </c>
      <c r="AZ27" s="2">
        <f t="shared" si="34"/>
        <v>0</v>
      </c>
      <c r="BA27" s="2">
        <f t="shared" si="34"/>
        <v>0</v>
      </c>
      <c r="BB27" s="2">
        <f t="shared" si="34"/>
        <v>0</v>
      </c>
      <c r="BC27" s="2">
        <f t="shared" si="34"/>
        <v>0</v>
      </c>
      <c r="BD27" s="2">
        <f t="shared" si="34"/>
        <v>0</v>
      </c>
      <c r="BE27" s="2">
        <f t="shared" si="34"/>
        <v>0</v>
      </c>
      <c r="BF27" s="2">
        <f t="shared" si="34"/>
        <v>0</v>
      </c>
      <c r="BG27" s="2">
        <f t="shared" si="34"/>
        <v>0</v>
      </c>
      <c r="BH27" s="2">
        <f t="shared" si="34"/>
        <v>0</v>
      </c>
      <c r="BI27" s="2">
        <f t="shared" si="34"/>
        <v>0</v>
      </c>
      <c r="BJ27" s="2">
        <f t="shared" si="34"/>
        <v>0</v>
      </c>
      <c r="BK27" s="2">
        <f t="shared" si="34"/>
        <v>0</v>
      </c>
      <c r="BL27" s="2">
        <f t="shared" si="34"/>
        <v>0</v>
      </c>
      <c r="BM27" s="2">
        <f t="shared" si="34"/>
        <v>0</v>
      </c>
      <c r="BN27" s="2">
        <f t="shared" si="34"/>
        <v>0</v>
      </c>
      <c r="BO27" s="2">
        <f t="shared" si="34"/>
        <v>0</v>
      </c>
      <c r="BP27" s="2">
        <f t="shared" si="34"/>
        <v>0</v>
      </c>
      <c r="BQ27" s="2">
        <f t="shared" ref="BQ27:CM27" si="35">IF(OR(ISNA(BQ15),$D27=0),0,BQ15*$D27/$D15)</f>
        <v>0</v>
      </c>
      <c r="BR27" s="2">
        <f t="shared" si="35"/>
        <v>0</v>
      </c>
      <c r="BS27" s="2">
        <f t="shared" si="35"/>
        <v>0</v>
      </c>
      <c r="BT27" s="2">
        <f t="shared" si="35"/>
        <v>0</v>
      </c>
      <c r="BU27" s="2">
        <f t="shared" si="35"/>
        <v>0</v>
      </c>
      <c r="BV27" s="2">
        <f t="shared" si="35"/>
        <v>0</v>
      </c>
      <c r="BW27" s="2">
        <f t="shared" si="35"/>
        <v>0</v>
      </c>
      <c r="BX27" s="2">
        <f t="shared" si="35"/>
        <v>0</v>
      </c>
      <c r="BY27" s="2">
        <f t="shared" si="35"/>
        <v>0</v>
      </c>
      <c r="BZ27" s="2">
        <f t="shared" si="35"/>
        <v>0</v>
      </c>
      <c r="CA27" s="2">
        <f t="shared" si="35"/>
        <v>0</v>
      </c>
      <c r="CB27" s="2">
        <f t="shared" si="35"/>
        <v>0</v>
      </c>
      <c r="CC27" s="2">
        <f t="shared" si="35"/>
        <v>0</v>
      </c>
      <c r="CD27" s="2">
        <f t="shared" si="35"/>
        <v>0</v>
      </c>
      <c r="CE27" s="2">
        <f t="shared" si="35"/>
        <v>0</v>
      </c>
      <c r="CF27" s="2">
        <f t="shared" si="35"/>
        <v>0</v>
      </c>
      <c r="CG27" s="2">
        <f t="shared" si="35"/>
        <v>0</v>
      </c>
      <c r="CH27" s="2">
        <f t="shared" si="35"/>
        <v>0</v>
      </c>
      <c r="CI27" s="2">
        <f t="shared" si="35"/>
        <v>0</v>
      </c>
      <c r="CJ27" s="2">
        <f t="shared" si="35"/>
        <v>0</v>
      </c>
      <c r="CK27" s="2">
        <f t="shared" si="35"/>
        <v>0</v>
      </c>
      <c r="CL27" s="2">
        <f t="shared" si="35"/>
        <v>0</v>
      </c>
      <c r="CM27" s="2">
        <f t="shared" si="35"/>
        <v>0</v>
      </c>
    </row>
    <row r="28" spans="1:91">
      <c r="B28" t="s">
        <v>344</v>
      </c>
      <c r="D28">
        <f>SUM(D16:D26)</f>
        <v>0</v>
      </c>
      <c r="E28">
        <f t="shared" ref="E28:BP28" si="36">SUM(E16:E26)</f>
        <v>0</v>
      </c>
      <c r="F28">
        <f t="shared" si="36"/>
        <v>0</v>
      </c>
      <c r="G28">
        <f t="shared" si="36"/>
        <v>0</v>
      </c>
      <c r="H28">
        <f t="shared" si="36"/>
        <v>0</v>
      </c>
      <c r="I28">
        <f t="shared" si="36"/>
        <v>0</v>
      </c>
      <c r="J28">
        <f t="shared" si="36"/>
        <v>0</v>
      </c>
      <c r="K28">
        <f t="shared" si="36"/>
        <v>0</v>
      </c>
      <c r="L28">
        <f t="shared" si="36"/>
        <v>0</v>
      </c>
      <c r="M28">
        <f t="shared" si="36"/>
        <v>0</v>
      </c>
      <c r="N28">
        <f t="shared" si="36"/>
        <v>0</v>
      </c>
      <c r="O28">
        <f t="shared" si="36"/>
        <v>0</v>
      </c>
      <c r="P28">
        <f t="shared" si="36"/>
        <v>0</v>
      </c>
      <c r="Q28">
        <f t="shared" si="36"/>
        <v>0</v>
      </c>
      <c r="R28">
        <f t="shared" si="36"/>
        <v>0</v>
      </c>
      <c r="S28">
        <f t="shared" si="36"/>
        <v>0</v>
      </c>
      <c r="T28">
        <f t="shared" si="36"/>
        <v>0</v>
      </c>
      <c r="U28">
        <f t="shared" si="36"/>
        <v>0</v>
      </c>
      <c r="V28">
        <f t="shared" si="36"/>
        <v>0</v>
      </c>
      <c r="W28">
        <f t="shared" si="36"/>
        <v>0</v>
      </c>
      <c r="X28">
        <f t="shared" si="36"/>
        <v>0</v>
      </c>
      <c r="Y28">
        <f t="shared" si="36"/>
        <v>0</v>
      </c>
      <c r="Z28">
        <f t="shared" si="36"/>
        <v>0</v>
      </c>
      <c r="AA28">
        <f t="shared" si="36"/>
        <v>0</v>
      </c>
      <c r="AB28">
        <f t="shared" si="36"/>
        <v>0</v>
      </c>
      <c r="AC28">
        <f t="shared" si="36"/>
        <v>0</v>
      </c>
      <c r="AD28">
        <f t="shared" si="36"/>
        <v>0</v>
      </c>
      <c r="AE28">
        <f t="shared" si="36"/>
        <v>0</v>
      </c>
      <c r="AF28">
        <f t="shared" si="36"/>
        <v>0</v>
      </c>
      <c r="AG28">
        <f t="shared" si="36"/>
        <v>0</v>
      </c>
      <c r="AH28">
        <f t="shared" si="36"/>
        <v>0</v>
      </c>
      <c r="AI28">
        <f t="shared" si="36"/>
        <v>0</v>
      </c>
      <c r="AJ28">
        <f t="shared" si="36"/>
        <v>0</v>
      </c>
      <c r="AK28">
        <f t="shared" si="36"/>
        <v>0</v>
      </c>
      <c r="AL28">
        <f t="shared" si="36"/>
        <v>0</v>
      </c>
      <c r="AM28">
        <f t="shared" si="36"/>
        <v>0</v>
      </c>
      <c r="AN28">
        <f t="shared" si="36"/>
        <v>0</v>
      </c>
      <c r="AO28">
        <f t="shared" si="36"/>
        <v>0</v>
      </c>
      <c r="AP28">
        <f t="shared" si="36"/>
        <v>0</v>
      </c>
      <c r="AQ28">
        <f t="shared" si="36"/>
        <v>0</v>
      </c>
      <c r="AR28">
        <f t="shared" si="36"/>
        <v>0</v>
      </c>
      <c r="AS28">
        <f t="shared" si="36"/>
        <v>0</v>
      </c>
      <c r="AT28">
        <f t="shared" si="36"/>
        <v>0</v>
      </c>
      <c r="AU28">
        <f t="shared" si="36"/>
        <v>0</v>
      </c>
      <c r="AV28">
        <f t="shared" si="36"/>
        <v>0</v>
      </c>
      <c r="AW28">
        <f t="shared" si="36"/>
        <v>0</v>
      </c>
      <c r="AX28">
        <f t="shared" si="36"/>
        <v>0</v>
      </c>
      <c r="AY28">
        <f t="shared" si="36"/>
        <v>0</v>
      </c>
      <c r="AZ28">
        <f t="shared" si="36"/>
        <v>0</v>
      </c>
      <c r="BA28">
        <f t="shared" si="36"/>
        <v>0</v>
      </c>
      <c r="BB28">
        <f t="shared" si="36"/>
        <v>0</v>
      </c>
      <c r="BC28">
        <f t="shared" si="36"/>
        <v>0</v>
      </c>
      <c r="BD28">
        <f t="shared" si="36"/>
        <v>0</v>
      </c>
      <c r="BE28">
        <f t="shared" si="36"/>
        <v>0</v>
      </c>
      <c r="BF28">
        <f t="shared" si="36"/>
        <v>0</v>
      </c>
      <c r="BG28">
        <f t="shared" si="36"/>
        <v>0</v>
      </c>
      <c r="BH28">
        <f t="shared" si="36"/>
        <v>0</v>
      </c>
      <c r="BI28">
        <f t="shared" si="36"/>
        <v>0</v>
      </c>
      <c r="BJ28">
        <f t="shared" si="36"/>
        <v>0</v>
      </c>
      <c r="BK28">
        <f t="shared" si="36"/>
        <v>0</v>
      </c>
      <c r="BL28">
        <f t="shared" si="36"/>
        <v>0</v>
      </c>
      <c r="BM28">
        <f t="shared" si="36"/>
        <v>0</v>
      </c>
      <c r="BN28">
        <f t="shared" si="36"/>
        <v>0</v>
      </c>
      <c r="BO28">
        <f t="shared" si="36"/>
        <v>0</v>
      </c>
      <c r="BP28">
        <f t="shared" si="36"/>
        <v>0</v>
      </c>
      <c r="BQ28">
        <f t="shared" ref="BQ28:CM28" si="37">SUM(BQ16:BQ26)</f>
        <v>0</v>
      </c>
      <c r="BR28">
        <f t="shared" si="37"/>
        <v>0</v>
      </c>
      <c r="BS28">
        <f t="shared" si="37"/>
        <v>0</v>
      </c>
      <c r="BT28">
        <f t="shared" si="37"/>
        <v>0</v>
      </c>
      <c r="BU28">
        <f t="shared" si="37"/>
        <v>0</v>
      </c>
      <c r="BV28">
        <f t="shared" si="37"/>
        <v>0</v>
      </c>
      <c r="BW28">
        <f t="shared" si="37"/>
        <v>0</v>
      </c>
      <c r="BX28">
        <f t="shared" si="37"/>
        <v>0</v>
      </c>
      <c r="BY28">
        <f t="shared" si="37"/>
        <v>0</v>
      </c>
      <c r="BZ28">
        <f t="shared" si="37"/>
        <v>0</v>
      </c>
      <c r="CA28">
        <f t="shared" si="37"/>
        <v>0</v>
      </c>
      <c r="CB28">
        <f t="shared" si="37"/>
        <v>0</v>
      </c>
      <c r="CC28">
        <f t="shared" si="37"/>
        <v>0</v>
      </c>
      <c r="CD28">
        <f t="shared" si="37"/>
        <v>0</v>
      </c>
      <c r="CE28">
        <f t="shared" si="37"/>
        <v>0</v>
      </c>
      <c r="CF28">
        <f t="shared" si="37"/>
        <v>0</v>
      </c>
      <c r="CG28">
        <f t="shared" si="37"/>
        <v>0</v>
      </c>
      <c r="CH28">
        <f t="shared" si="37"/>
        <v>0</v>
      </c>
      <c r="CI28">
        <f t="shared" si="37"/>
        <v>0</v>
      </c>
      <c r="CJ28">
        <f t="shared" si="37"/>
        <v>0</v>
      </c>
      <c r="CK28">
        <f t="shared" si="37"/>
        <v>0</v>
      </c>
      <c r="CL28">
        <f t="shared" si="37"/>
        <v>0</v>
      </c>
      <c r="CM28">
        <f t="shared" si="37"/>
        <v>0</v>
      </c>
    </row>
    <row r="30" spans="1:91">
      <c r="A30" t="s">
        <v>348</v>
      </c>
      <c r="B30" s="6">
        <f>入力欄!G4</f>
        <v>0</v>
      </c>
      <c r="D30" t="e">
        <f t="shared" ref="D30:M39" si="38">INDEX(輸液一覧,MATCH($B30,輸液一覧製品名,0),MATCH(D$1,輸液一覧成分名,0))</f>
        <v>#N/A</v>
      </c>
      <c r="E30" t="e">
        <f t="shared" si="38"/>
        <v>#N/A</v>
      </c>
      <c r="F30" t="e">
        <f t="shared" si="38"/>
        <v>#N/A</v>
      </c>
      <c r="G30" t="e">
        <f t="shared" si="38"/>
        <v>#N/A</v>
      </c>
      <c r="H30" t="e">
        <f t="shared" si="38"/>
        <v>#N/A</v>
      </c>
      <c r="I30" t="e">
        <f t="shared" si="38"/>
        <v>#N/A</v>
      </c>
      <c r="J30" t="e">
        <f t="shared" si="38"/>
        <v>#N/A</v>
      </c>
      <c r="K30" t="e">
        <f t="shared" si="38"/>
        <v>#N/A</v>
      </c>
      <c r="L30" t="e">
        <f t="shared" si="38"/>
        <v>#N/A</v>
      </c>
      <c r="M30" t="e">
        <f t="shared" si="38"/>
        <v>#N/A</v>
      </c>
      <c r="N30" t="e">
        <f t="shared" ref="N30:W39" si="39">INDEX(輸液一覧,MATCH($B30,輸液一覧製品名,0),MATCH(N$1,輸液一覧成分名,0))</f>
        <v>#N/A</v>
      </c>
      <c r="O30" t="e">
        <f t="shared" si="39"/>
        <v>#N/A</v>
      </c>
      <c r="P30" t="e">
        <f t="shared" si="39"/>
        <v>#N/A</v>
      </c>
      <c r="Q30" t="e">
        <f t="shared" si="39"/>
        <v>#N/A</v>
      </c>
      <c r="R30" t="e">
        <f t="shared" si="39"/>
        <v>#N/A</v>
      </c>
      <c r="S30" t="e">
        <f t="shared" si="39"/>
        <v>#N/A</v>
      </c>
      <c r="T30" t="e">
        <f t="shared" si="39"/>
        <v>#N/A</v>
      </c>
      <c r="U30" t="e">
        <f t="shared" si="39"/>
        <v>#N/A</v>
      </c>
      <c r="V30" t="e">
        <f t="shared" si="39"/>
        <v>#N/A</v>
      </c>
      <c r="W30" t="e">
        <f t="shared" si="39"/>
        <v>#N/A</v>
      </c>
      <c r="X30" t="e">
        <f t="shared" ref="X30:AG39" si="40">INDEX(輸液一覧,MATCH($B30,輸液一覧製品名,0),MATCH(X$1,輸液一覧成分名,0))</f>
        <v>#N/A</v>
      </c>
      <c r="Y30" t="e">
        <f t="shared" si="40"/>
        <v>#N/A</v>
      </c>
      <c r="Z30" t="e">
        <f t="shared" si="40"/>
        <v>#N/A</v>
      </c>
      <c r="AA30" t="e">
        <f t="shared" si="40"/>
        <v>#N/A</v>
      </c>
      <c r="AB30" t="e">
        <f t="shared" si="40"/>
        <v>#N/A</v>
      </c>
      <c r="AC30" t="e">
        <f t="shared" si="40"/>
        <v>#N/A</v>
      </c>
      <c r="AD30" t="e">
        <f t="shared" si="40"/>
        <v>#N/A</v>
      </c>
      <c r="AE30" t="e">
        <f t="shared" si="40"/>
        <v>#N/A</v>
      </c>
      <c r="AF30" t="e">
        <f t="shared" si="40"/>
        <v>#N/A</v>
      </c>
      <c r="AG30" t="e">
        <f t="shared" si="40"/>
        <v>#N/A</v>
      </c>
      <c r="AH30" t="e">
        <f t="shared" ref="AH30:AQ39" si="41">INDEX(輸液一覧,MATCH($B30,輸液一覧製品名,0),MATCH(AH$1,輸液一覧成分名,0))</f>
        <v>#N/A</v>
      </c>
      <c r="AI30" t="e">
        <f t="shared" si="41"/>
        <v>#N/A</v>
      </c>
      <c r="AJ30" t="e">
        <f t="shared" si="41"/>
        <v>#N/A</v>
      </c>
      <c r="AK30" t="e">
        <f t="shared" si="41"/>
        <v>#N/A</v>
      </c>
      <c r="AL30" t="e">
        <f t="shared" si="41"/>
        <v>#N/A</v>
      </c>
      <c r="AM30" t="e">
        <f t="shared" si="41"/>
        <v>#N/A</v>
      </c>
      <c r="AN30" t="e">
        <f t="shared" si="41"/>
        <v>#N/A</v>
      </c>
      <c r="AO30" t="e">
        <f t="shared" si="41"/>
        <v>#N/A</v>
      </c>
      <c r="AP30" t="e">
        <f t="shared" si="41"/>
        <v>#N/A</v>
      </c>
      <c r="AQ30" t="e">
        <f t="shared" si="41"/>
        <v>#N/A</v>
      </c>
      <c r="AR30" t="e">
        <f t="shared" ref="AR30:BA39" si="42">INDEX(輸液一覧,MATCH($B30,輸液一覧製品名,0),MATCH(AR$1,輸液一覧成分名,0))</f>
        <v>#N/A</v>
      </c>
      <c r="AS30" t="e">
        <f t="shared" si="42"/>
        <v>#N/A</v>
      </c>
      <c r="AT30" t="e">
        <f t="shared" si="42"/>
        <v>#N/A</v>
      </c>
      <c r="AU30" t="e">
        <f t="shared" si="42"/>
        <v>#N/A</v>
      </c>
      <c r="AV30" t="e">
        <f t="shared" si="42"/>
        <v>#N/A</v>
      </c>
      <c r="AW30" t="e">
        <f t="shared" si="42"/>
        <v>#N/A</v>
      </c>
      <c r="AX30" t="e">
        <f t="shared" si="42"/>
        <v>#N/A</v>
      </c>
      <c r="AY30" t="e">
        <f t="shared" si="42"/>
        <v>#N/A</v>
      </c>
      <c r="AZ30" t="e">
        <f t="shared" si="42"/>
        <v>#N/A</v>
      </c>
      <c r="BA30" t="e">
        <f t="shared" si="42"/>
        <v>#N/A</v>
      </c>
      <c r="BB30" t="e">
        <f t="shared" ref="BB30:BK39" si="43">INDEX(輸液一覧,MATCH($B30,輸液一覧製品名,0),MATCH(BB$1,輸液一覧成分名,0))</f>
        <v>#N/A</v>
      </c>
      <c r="BC30" t="e">
        <f t="shared" si="43"/>
        <v>#N/A</v>
      </c>
      <c r="BD30" t="e">
        <f t="shared" si="43"/>
        <v>#N/A</v>
      </c>
      <c r="BE30" t="e">
        <f t="shared" si="43"/>
        <v>#N/A</v>
      </c>
      <c r="BF30" t="e">
        <f t="shared" si="43"/>
        <v>#N/A</v>
      </c>
      <c r="BG30" t="e">
        <f t="shared" si="43"/>
        <v>#N/A</v>
      </c>
      <c r="BH30" t="e">
        <f t="shared" si="43"/>
        <v>#N/A</v>
      </c>
      <c r="BI30" t="e">
        <f t="shared" si="43"/>
        <v>#N/A</v>
      </c>
      <c r="BJ30" t="e">
        <f t="shared" si="43"/>
        <v>#N/A</v>
      </c>
      <c r="BK30" t="e">
        <f t="shared" si="43"/>
        <v>#N/A</v>
      </c>
      <c r="BL30" t="e">
        <f t="shared" ref="BL30:BU39" si="44">INDEX(輸液一覧,MATCH($B30,輸液一覧製品名,0),MATCH(BL$1,輸液一覧成分名,0))</f>
        <v>#N/A</v>
      </c>
      <c r="BM30" t="e">
        <f t="shared" si="44"/>
        <v>#N/A</v>
      </c>
      <c r="BN30" t="e">
        <f t="shared" si="44"/>
        <v>#N/A</v>
      </c>
      <c r="BO30" t="e">
        <f t="shared" si="44"/>
        <v>#N/A</v>
      </c>
      <c r="BP30" t="e">
        <f t="shared" si="44"/>
        <v>#N/A</v>
      </c>
      <c r="BQ30" t="e">
        <f t="shared" si="44"/>
        <v>#N/A</v>
      </c>
      <c r="BR30" t="e">
        <f t="shared" si="44"/>
        <v>#N/A</v>
      </c>
      <c r="BS30" t="e">
        <f t="shared" si="44"/>
        <v>#N/A</v>
      </c>
      <c r="BT30" t="e">
        <f t="shared" si="44"/>
        <v>#N/A</v>
      </c>
      <c r="BU30" t="e">
        <f t="shared" si="44"/>
        <v>#N/A</v>
      </c>
      <c r="BV30" t="e">
        <f t="shared" ref="BV30:CK39" si="45">INDEX(輸液一覧,MATCH($B30,輸液一覧製品名,0),MATCH(BV$1,輸液一覧成分名,0))</f>
        <v>#N/A</v>
      </c>
      <c r="BW30" t="e">
        <f t="shared" si="45"/>
        <v>#N/A</v>
      </c>
      <c r="BX30" t="e">
        <f t="shared" si="45"/>
        <v>#N/A</v>
      </c>
      <c r="BY30" t="e">
        <f t="shared" si="45"/>
        <v>#N/A</v>
      </c>
      <c r="BZ30" t="e">
        <f t="shared" si="45"/>
        <v>#N/A</v>
      </c>
      <c r="CA30" t="e">
        <f t="shared" si="45"/>
        <v>#N/A</v>
      </c>
      <c r="CB30" t="e">
        <f t="shared" si="45"/>
        <v>#N/A</v>
      </c>
      <c r="CC30" t="e">
        <f t="shared" si="45"/>
        <v>#N/A</v>
      </c>
      <c r="CD30" t="e">
        <f t="shared" si="45"/>
        <v>#N/A</v>
      </c>
      <c r="CE30" t="e">
        <f t="shared" si="45"/>
        <v>#N/A</v>
      </c>
      <c r="CF30" t="e">
        <f t="shared" si="45"/>
        <v>#N/A</v>
      </c>
      <c r="CG30" t="e">
        <f t="shared" si="45"/>
        <v>#N/A</v>
      </c>
      <c r="CH30" t="e">
        <f t="shared" si="45"/>
        <v>#N/A</v>
      </c>
      <c r="CI30" t="e">
        <f t="shared" si="45"/>
        <v>#N/A</v>
      </c>
      <c r="CJ30" t="e">
        <f t="shared" si="45"/>
        <v>#N/A</v>
      </c>
      <c r="CK30" t="e">
        <f t="shared" si="45"/>
        <v>#N/A</v>
      </c>
      <c r="CL30" t="e">
        <f t="shared" ref="CI30:CM39" si="46">INDEX(輸液一覧,MATCH($B30,輸液一覧製品名,0),MATCH(CL$1,輸液一覧成分名,0))</f>
        <v>#N/A</v>
      </c>
      <c r="CM30" t="e">
        <f t="shared" si="46"/>
        <v>#N/A</v>
      </c>
    </row>
    <row r="31" spans="1:91">
      <c r="A31" t="s">
        <v>342</v>
      </c>
      <c r="B31" s="6">
        <f>入力欄!G5</f>
        <v>0</v>
      </c>
      <c r="D31" t="e">
        <f t="shared" si="38"/>
        <v>#N/A</v>
      </c>
      <c r="E31" t="e">
        <f t="shared" si="38"/>
        <v>#N/A</v>
      </c>
      <c r="F31" t="e">
        <f t="shared" si="38"/>
        <v>#N/A</v>
      </c>
      <c r="G31" t="e">
        <f t="shared" si="38"/>
        <v>#N/A</v>
      </c>
      <c r="H31" t="e">
        <f t="shared" si="38"/>
        <v>#N/A</v>
      </c>
      <c r="I31" t="e">
        <f t="shared" si="38"/>
        <v>#N/A</v>
      </c>
      <c r="J31" t="e">
        <f t="shared" si="38"/>
        <v>#N/A</v>
      </c>
      <c r="K31" t="e">
        <f t="shared" si="38"/>
        <v>#N/A</v>
      </c>
      <c r="L31" t="e">
        <f t="shared" si="38"/>
        <v>#N/A</v>
      </c>
      <c r="M31" t="e">
        <f t="shared" si="38"/>
        <v>#N/A</v>
      </c>
      <c r="N31" t="e">
        <f t="shared" si="39"/>
        <v>#N/A</v>
      </c>
      <c r="O31" t="e">
        <f t="shared" si="39"/>
        <v>#N/A</v>
      </c>
      <c r="P31" t="e">
        <f t="shared" si="39"/>
        <v>#N/A</v>
      </c>
      <c r="Q31" t="e">
        <f t="shared" si="39"/>
        <v>#N/A</v>
      </c>
      <c r="R31" t="e">
        <f t="shared" si="39"/>
        <v>#N/A</v>
      </c>
      <c r="S31" t="e">
        <f t="shared" si="39"/>
        <v>#N/A</v>
      </c>
      <c r="T31" t="e">
        <f t="shared" si="39"/>
        <v>#N/A</v>
      </c>
      <c r="U31" t="e">
        <f t="shared" si="39"/>
        <v>#N/A</v>
      </c>
      <c r="V31" t="e">
        <f t="shared" si="39"/>
        <v>#N/A</v>
      </c>
      <c r="W31" t="e">
        <f t="shared" si="39"/>
        <v>#N/A</v>
      </c>
      <c r="X31" t="e">
        <f t="shared" si="40"/>
        <v>#N/A</v>
      </c>
      <c r="Y31" t="e">
        <f t="shared" si="40"/>
        <v>#N/A</v>
      </c>
      <c r="Z31" t="e">
        <f t="shared" si="40"/>
        <v>#N/A</v>
      </c>
      <c r="AA31" t="e">
        <f t="shared" si="40"/>
        <v>#N/A</v>
      </c>
      <c r="AB31" t="e">
        <f t="shared" si="40"/>
        <v>#N/A</v>
      </c>
      <c r="AC31" t="e">
        <f t="shared" si="40"/>
        <v>#N/A</v>
      </c>
      <c r="AD31" t="e">
        <f t="shared" si="40"/>
        <v>#N/A</v>
      </c>
      <c r="AE31" t="e">
        <f t="shared" si="40"/>
        <v>#N/A</v>
      </c>
      <c r="AF31" t="e">
        <f t="shared" si="40"/>
        <v>#N/A</v>
      </c>
      <c r="AG31" t="e">
        <f t="shared" si="40"/>
        <v>#N/A</v>
      </c>
      <c r="AH31" t="e">
        <f t="shared" si="41"/>
        <v>#N/A</v>
      </c>
      <c r="AI31" t="e">
        <f t="shared" si="41"/>
        <v>#N/A</v>
      </c>
      <c r="AJ31" t="e">
        <f t="shared" si="41"/>
        <v>#N/A</v>
      </c>
      <c r="AK31" t="e">
        <f t="shared" si="41"/>
        <v>#N/A</v>
      </c>
      <c r="AL31" t="e">
        <f t="shared" si="41"/>
        <v>#N/A</v>
      </c>
      <c r="AM31" t="e">
        <f t="shared" si="41"/>
        <v>#N/A</v>
      </c>
      <c r="AN31" t="e">
        <f t="shared" si="41"/>
        <v>#N/A</v>
      </c>
      <c r="AO31" t="e">
        <f t="shared" si="41"/>
        <v>#N/A</v>
      </c>
      <c r="AP31" t="e">
        <f t="shared" si="41"/>
        <v>#N/A</v>
      </c>
      <c r="AQ31" t="e">
        <f t="shared" si="41"/>
        <v>#N/A</v>
      </c>
      <c r="AR31" t="e">
        <f t="shared" si="42"/>
        <v>#N/A</v>
      </c>
      <c r="AS31" t="e">
        <f t="shared" si="42"/>
        <v>#N/A</v>
      </c>
      <c r="AT31" t="e">
        <f t="shared" si="42"/>
        <v>#N/A</v>
      </c>
      <c r="AU31" t="e">
        <f t="shared" si="42"/>
        <v>#N/A</v>
      </c>
      <c r="AV31" t="e">
        <f t="shared" si="42"/>
        <v>#N/A</v>
      </c>
      <c r="AW31" t="e">
        <f t="shared" si="42"/>
        <v>#N/A</v>
      </c>
      <c r="AX31" t="e">
        <f t="shared" si="42"/>
        <v>#N/A</v>
      </c>
      <c r="AY31" t="e">
        <f t="shared" si="42"/>
        <v>#N/A</v>
      </c>
      <c r="AZ31" t="e">
        <f t="shared" si="42"/>
        <v>#N/A</v>
      </c>
      <c r="BA31" t="e">
        <f t="shared" si="42"/>
        <v>#N/A</v>
      </c>
      <c r="BB31" t="e">
        <f t="shared" si="43"/>
        <v>#N/A</v>
      </c>
      <c r="BC31" t="e">
        <f t="shared" si="43"/>
        <v>#N/A</v>
      </c>
      <c r="BD31" t="e">
        <f t="shared" si="43"/>
        <v>#N/A</v>
      </c>
      <c r="BE31" t="e">
        <f t="shared" si="43"/>
        <v>#N/A</v>
      </c>
      <c r="BF31" t="e">
        <f t="shared" si="43"/>
        <v>#N/A</v>
      </c>
      <c r="BG31" t="e">
        <f t="shared" si="43"/>
        <v>#N/A</v>
      </c>
      <c r="BH31" t="e">
        <f t="shared" si="43"/>
        <v>#N/A</v>
      </c>
      <c r="BI31" t="e">
        <f t="shared" si="43"/>
        <v>#N/A</v>
      </c>
      <c r="BJ31" t="e">
        <f t="shared" si="43"/>
        <v>#N/A</v>
      </c>
      <c r="BK31" t="e">
        <f t="shared" si="43"/>
        <v>#N/A</v>
      </c>
      <c r="BL31" t="e">
        <f t="shared" si="44"/>
        <v>#N/A</v>
      </c>
      <c r="BM31" t="e">
        <f t="shared" si="44"/>
        <v>#N/A</v>
      </c>
      <c r="BN31" t="e">
        <f t="shared" si="44"/>
        <v>#N/A</v>
      </c>
      <c r="BO31" t="e">
        <f t="shared" si="44"/>
        <v>#N/A</v>
      </c>
      <c r="BP31" t="e">
        <f t="shared" si="44"/>
        <v>#N/A</v>
      </c>
      <c r="BQ31" t="e">
        <f t="shared" si="44"/>
        <v>#N/A</v>
      </c>
      <c r="BR31" t="e">
        <f t="shared" si="44"/>
        <v>#N/A</v>
      </c>
      <c r="BS31" t="e">
        <f t="shared" si="44"/>
        <v>#N/A</v>
      </c>
      <c r="BT31" t="e">
        <f t="shared" si="44"/>
        <v>#N/A</v>
      </c>
      <c r="BU31" t="e">
        <f t="shared" si="44"/>
        <v>#N/A</v>
      </c>
      <c r="BV31" t="e">
        <f t="shared" si="45"/>
        <v>#N/A</v>
      </c>
      <c r="BW31" t="e">
        <f t="shared" si="45"/>
        <v>#N/A</v>
      </c>
      <c r="BX31" t="e">
        <f t="shared" si="45"/>
        <v>#N/A</v>
      </c>
      <c r="BY31" t="e">
        <f t="shared" si="45"/>
        <v>#N/A</v>
      </c>
      <c r="BZ31" t="e">
        <f t="shared" si="45"/>
        <v>#N/A</v>
      </c>
      <c r="CA31" t="e">
        <f t="shared" si="45"/>
        <v>#N/A</v>
      </c>
      <c r="CB31" t="e">
        <f t="shared" si="45"/>
        <v>#N/A</v>
      </c>
      <c r="CC31" t="e">
        <f t="shared" si="45"/>
        <v>#N/A</v>
      </c>
      <c r="CD31" t="e">
        <f t="shared" si="45"/>
        <v>#N/A</v>
      </c>
      <c r="CE31" t="e">
        <f t="shared" si="45"/>
        <v>#N/A</v>
      </c>
      <c r="CF31" t="e">
        <f t="shared" si="45"/>
        <v>#N/A</v>
      </c>
      <c r="CG31" t="e">
        <f t="shared" si="45"/>
        <v>#N/A</v>
      </c>
      <c r="CH31" t="e">
        <f t="shared" si="45"/>
        <v>#N/A</v>
      </c>
      <c r="CI31" t="e">
        <f t="shared" si="46"/>
        <v>#N/A</v>
      </c>
      <c r="CJ31" t="e">
        <f t="shared" si="46"/>
        <v>#N/A</v>
      </c>
      <c r="CK31" t="e">
        <f t="shared" si="46"/>
        <v>#N/A</v>
      </c>
      <c r="CL31" t="e">
        <f t="shared" si="46"/>
        <v>#N/A</v>
      </c>
      <c r="CM31" t="e">
        <f t="shared" si="46"/>
        <v>#N/A</v>
      </c>
    </row>
    <row r="32" spans="1:91">
      <c r="B32" s="6">
        <f>入力欄!G6</f>
        <v>0</v>
      </c>
      <c r="D32" t="e">
        <f t="shared" si="38"/>
        <v>#N/A</v>
      </c>
      <c r="E32" t="e">
        <f t="shared" si="38"/>
        <v>#N/A</v>
      </c>
      <c r="F32" t="e">
        <f t="shared" si="38"/>
        <v>#N/A</v>
      </c>
      <c r="G32" t="e">
        <f t="shared" si="38"/>
        <v>#N/A</v>
      </c>
      <c r="H32" t="e">
        <f t="shared" si="38"/>
        <v>#N/A</v>
      </c>
      <c r="I32" t="e">
        <f t="shared" si="38"/>
        <v>#N/A</v>
      </c>
      <c r="J32" t="e">
        <f t="shared" si="38"/>
        <v>#N/A</v>
      </c>
      <c r="K32" t="e">
        <f t="shared" si="38"/>
        <v>#N/A</v>
      </c>
      <c r="L32" t="e">
        <f t="shared" si="38"/>
        <v>#N/A</v>
      </c>
      <c r="M32" t="e">
        <f t="shared" si="38"/>
        <v>#N/A</v>
      </c>
      <c r="N32" t="e">
        <f t="shared" si="39"/>
        <v>#N/A</v>
      </c>
      <c r="O32" t="e">
        <f t="shared" si="39"/>
        <v>#N/A</v>
      </c>
      <c r="P32" t="e">
        <f t="shared" si="39"/>
        <v>#N/A</v>
      </c>
      <c r="Q32" t="e">
        <f t="shared" si="39"/>
        <v>#N/A</v>
      </c>
      <c r="R32" t="e">
        <f t="shared" si="39"/>
        <v>#N/A</v>
      </c>
      <c r="S32" t="e">
        <f t="shared" si="39"/>
        <v>#N/A</v>
      </c>
      <c r="T32" t="e">
        <f t="shared" si="39"/>
        <v>#N/A</v>
      </c>
      <c r="U32" t="e">
        <f t="shared" si="39"/>
        <v>#N/A</v>
      </c>
      <c r="V32" t="e">
        <f t="shared" si="39"/>
        <v>#N/A</v>
      </c>
      <c r="W32" t="e">
        <f t="shared" si="39"/>
        <v>#N/A</v>
      </c>
      <c r="X32" t="e">
        <f t="shared" si="40"/>
        <v>#N/A</v>
      </c>
      <c r="Y32" t="e">
        <f t="shared" si="40"/>
        <v>#N/A</v>
      </c>
      <c r="Z32" t="e">
        <f t="shared" si="40"/>
        <v>#N/A</v>
      </c>
      <c r="AA32" t="e">
        <f t="shared" si="40"/>
        <v>#N/A</v>
      </c>
      <c r="AB32" t="e">
        <f t="shared" si="40"/>
        <v>#N/A</v>
      </c>
      <c r="AC32" t="e">
        <f t="shared" si="40"/>
        <v>#N/A</v>
      </c>
      <c r="AD32" t="e">
        <f t="shared" si="40"/>
        <v>#N/A</v>
      </c>
      <c r="AE32" t="e">
        <f t="shared" si="40"/>
        <v>#N/A</v>
      </c>
      <c r="AF32" t="e">
        <f t="shared" si="40"/>
        <v>#N/A</v>
      </c>
      <c r="AG32" t="e">
        <f t="shared" si="40"/>
        <v>#N/A</v>
      </c>
      <c r="AH32" t="e">
        <f t="shared" si="41"/>
        <v>#N/A</v>
      </c>
      <c r="AI32" t="e">
        <f t="shared" si="41"/>
        <v>#N/A</v>
      </c>
      <c r="AJ32" t="e">
        <f t="shared" si="41"/>
        <v>#N/A</v>
      </c>
      <c r="AK32" t="e">
        <f t="shared" si="41"/>
        <v>#N/A</v>
      </c>
      <c r="AL32" t="e">
        <f t="shared" si="41"/>
        <v>#N/A</v>
      </c>
      <c r="AM32" t="e">
        <f t="shared" si="41"/>
        <v>#N/A</v>
      </c>
      <c r="AN32" t="e">
        <f t="shared" si="41"/>
        <v>#N/A</v>
      </c>
      <c r="AO32" t="e">
        <f t="shared" si="41"/>
        <v>#N/A</v>
      </c>
      <c r="AP32" t="e">
        <f t="shared" si="41"/>
        <v>#N/A</v>
      </c>
      <c r="AQ32" t="e">
        <f t="shared" si="41"/>
        <v>#N/A</v>
      </c>
      <c r="AR32" t="e">
        <f t="shared" si="42"/>
        <v>#N/A</v>
      </c>
      <c r="AS32" t="e">
        <f t="shared" si="42"/>
        <v>#N/A</v>
      </c>
      <c r="AT32" t="e">
        <f t="shared" si="42"/>
        <v>#N/A</v>
      </c>
      <c r="AU32" t="e">
        <f t="shared" si="42"/>
        <v>#N/A</v>
      </c>
      <c r="AV32" t="e">
        <f t="shared" si="42"/>
        <v>#N/A</v>
      </c>
      <c r="AW32" t="e">
        <f t="shared" si="42"/>
        <v>#N/A</v>
      </c>
      <c r="AX32" t="e">
        <f t="shared" si="42"/>
        <v>#N/A</v>
      </c>
      <c r="AY32" t="e">
        <f t="shared" si="42"/>
        <v>#N/A</v>
      </c>
      <c r="AZ32" t="e">
        <f t="shared" si="42"/>
        <v>#N/A</v>
      </c>
      <c r="BA32" t="e">
        <f t="shared" si="42"/>
        <v>#N/A</v>
      </c>
      <c r="BB32" t="e">
        <f t="shared" si="43"/>
        <v>#N/A</v>
      </c>
      <c r="BC32" t="e">
        <f t="shared" si="43"/>
        <v>#N/A</v>
      </c>
      <c r="BD32" t="e">
        <f t="shared" si="43"/>
        <v>#N/A</v>
      </c>
      <c r="BE32" t="e">
        <f t="shared" si="43"/>
        <v>#N/A</v>
      </c>
      <c r="BF32" t="e">
        <f t="shared" si="43"/>
        <v>#N/A</v>
      </c>
      <c r="BG32" t="e">
        <f t="shared" si="43"/>
        <v>#N/A</v>
      </c>
      <c r="BH32" t="e">
        <f t="shared" si="43"/>
        <v>#N/A</v>
      </c>
      <c r="BI32" t="e">
        <f t="shared" si="43"/>
        <v>#N/A</v>
      </c>
      <c r="BJ32" t="e">
        <f t="shared" si="43"/>
        <v>#N/A</v>
      </c>
      <c r="BK32" t="e">
        <f t="shared" si="43"/>
        <v>#N/A</v>
      </c>
      <c r="BL32" t="e">
        <f t="shared" si="44"/>
        <v>#N/A</v>
      </c>
      <c r="BM32" t="e">
        <f t="shared" si="44"/>
        <v>#N/A</v>
      </c>
      <c r="BN32" t="e">
        <f t="shared" si="44"/>
        <v>#N/A</v>
      </c>
      <c r="BO32" t="e">
        <f t="shared" si="44"/>
        <v>#N/A</v>
      </c>
      <c r="BP32" t="e">
        <f t="shared" si="44"/>
        <v>#N/A</v>
      </c>
      <c r="BQ32" t="e">
        <f t="shared" si="44"/>
        <v>#N/A</v>
      </c>
      <c r="BR32" t="e">
        <f t="shared" si="44"/>
        <v>#N/A</v>
      </c>
      <c r="BS32" t="e">
        <f t="shared" si="44"/>
        <v>#N/A</v>
      </c>
      <c r="BT32" t="e">
        <f t="shared" si="44"/>
        <v>#N/A</v>
      </c>
      <c r="BU32" t="e">
        <f t="shared" si="44"/>
        <v>#N/A</v>
      </c>
      <c r="BV32" t="e">
        <f t="shared" si="45"/>
        <v>#N/A</v>
      </c>
      <c r="BW32" t="e">
        <f t="shared" si="45"/>
        <v>#N/A</v>
      </c>
      <c r="BX32" t="e">
        <f t="shared" si="45"/>
        <v>#N/A</v>
      </c>
      <c r="BY32" t="e">
        <f t="shared" si="45"/>
        <v>#N/A</v>
      </c>
      <c r="BZ32" t="e">
        <f t="shared" si="45"/>
        <v>#N/A</v>
      </c>
      <c r="CA32" t="e">
        <f t="shared" si="45"/>
        <v>#N/A</v>
      </c>
      <c r="CB32" t="e">
        <f t="shared" si="45"/>
        <v>#N/A</v>
      </c>
      <c r="CC32" t="e">
        <f t="shared" si="45"/>
        <v>#N/A</v>
      </c>
      <c r="CD32" t="e">
        <f t="shared" si="45"/>
        <v>#N/A</v>
      </c>
      <c r="CE32" t="e">
        <f t="shared" si="45"/>
        <v>#N/A</v>
      </c>
      <c r="CF32" t="e">
        <f t="shared" si="45"/>
        <v>#N/A</v>
      </c>
      <c r="CG32" t="e">
        <f t="shared" si="45"/>
        <v>#N/A</v>
      </c>
      <c r="CH32" t="e">
        <f t="shared" si="45"/>
        <v>#N/A</v>
      </c>
      <c r="CI32" t="e">
        <f t="shared" si="46"/>
        <v>#N/A</v>
      </c>
      <c r="CJ32" t="e">
        <f t="shared" si="46"/>
        <v>#N/A</v>
      </c>
      <c r="CK32" t="e">
        <f t="shared" si="46"/>
        <v>#N/A</v>
      </c>
      <c r="CL32" t="e">
        <f t="shared" si="46"/>
        <v>#N/A</v>
      </c>
      <c r="CM32" t="e">
        <f t="shared" si="46"/>
        <v>#N/A</v>
      </c>
    </row>
    <row r="33" spans="1:91">
      <c r="B33" s="6">
        <f>入力欄!G7</f>
        <v>0</v>
      </c>
      <c r="D33" t="e">
        <f t="shared" si="38"/>
        <v>#N/A</v>
      </c>
      <c r="E33" t="e">
        <f t="shared" si="38"/>
        <v>#N/A</v>
      </c>
      <c r="F33" t="e">
        <f t="shared" si="38"/>
        <v>#N/A</v>
      </c>
      <c r="G33" t="e">
        <f t="shared" si="38"/>
        <v>#N/A</v>
      </c>
      <c r="H33" t="e">
        <f t="shared" si="38"/>
        <v>#N/A</v>
      </c>
      <c r="I33" t="e">
        <f t="shared" si="38"/>
        <v>#N/A</v>
      </c>
      <c r="J33" t="e">
        <f t="shared" si="38"/>
        <v>#N/A</v>
      </c>
      <c r="K33" t="e">
        <f t="shared" si="38"/>
        <v>#N/A</v>
      </c>
      <c r="L33" t="e">
        <f t="shared" si="38"/>
        <v>#N/A</v>
      </c>
      <c r="M33" t="e">
        <f t="shared" si="38"/>
        <v>#N/A</v>
      </c>
      <c r="N33" t="e">
        <f t="shared" si="39"/>
        <v>#N/A</v>
      </c>
      <c r="O33" t="e">
        <f t="shared" si="39"/>
        <v>#N/A</v>
      </c>
      <c r="P33" t="e">
        <f t="shared" si="39"/>
        <v>#N/A</v>
      </c>
      <c r="Q33" t="e">
        <f t="shared" si="39"/>
        <v>#N/A</v>
      </c>
      <c r="R33" t="e">
        <f t="shared" si="39"/>
        <v>#N/A</v>
      </c>
      <c r="S33" t="e">
        <f t="shared" si="39"/>
        <v>#N/A</v>
      </c>
      <c r="T33" t="e">
        <f t="shared" si="39"/>
        <v>#N/A</v>
      </c>
      <c r="U33" t="e">
        <f t="shared" si="39"/>
        <v>#N/A</v>
      </c>
      <c r="V33" t="e">
        <f t="shared" si="39"/>
        <v>#N/A</v>
      </c>
      <c r="W33" t="e">
        <f t="shared" si="39"/>
        <v>#N/A</v>
      </c>
      <c r="X33" t="e">
        <f t="shared" si="40"/>
        <v>#N/A</v>
      </c>
      <c r="Y33" t="e">
        <f t="shared" si="40"/>
        <v>#N/A</v>
      </c>
      <c r="Z33" t="e">
        <f t="shared" si="40"/>
        <v>#N/A</v>
      </c>
      <c r="AA33" t="e">
        <f t="shared" si="40"/>
        <v>#N/A</v>
      </c>
      <c r="AB33" t="e">
        <f t="shared" si="40"/>
        <v>#N/A</v>
      </c>
      <c r="AC33" t="e">
        <f t="shared" si="40"/>
        <v>#N/A</v>
      </c>
      <c r="AD33" t="e">
        <f t="shared" si="40"/>
        <v>#N/A</v>
      </c>
      <c r="AE33" t="e">
        <f t="shared" si="40"/>
        <v>#N/A</v>
      </c>
      <c r="AF33" t="e">
        <f t="shared" si="40"/>
        <v>#N/A</v>
      </c>
      <c r="AG33" t="e">
        <f t="shared" si="40"/>
        <v>#N/A</v>
      </c>
      <c r="AH33" t="e">
        <f t="shared" si="41"/>
        <v>#N/A</v>
      </c>
      <c r="AI33" t="e">
        <f t="shared" si="41"/>
        <v>#N/A</v>
      </c>
      <c r="AJ33" t="e">
        <f t="shared" si="41"/>
        <v>#N/A</v>
      </c>
      <c r="AK33" t="e">
        <f t="shared" si="41"/>
        <v>#N/A</v>
      </c>
      <c r="AL33" t="e">
        <f t="shared" si="41"/>
        <v>#N/A</v>
      </c>
      <c r="AM33" t="e">
        <f t="shared" si="41"/>
        <v>#N/A</v>
      </c>
      <c r="AN33" t="e">
        <f t="shared" si="41"/>
        <v>#N/A</v>
      </c>
      <c r="AO33" t="e">
        <f t="shared" si="41"/>
        <v>#N/A</v>
      </c>
      <c r="AP33" t="e">
        <f t="shared" si="41"/>
        <v>#N/A</v>
      </c>
      <c r="AQ33" t="e">
        <f t="shared" si="41"/>
        <v>#N/A</v>
      </c>
      <c r="AR33" t="e">
        <f t="shared" si="42"/>
        <v>#N/A</v>
      </c>
      <c r="AS33" t="e">
        <f t="shared" si="42"/>
        <v>#N/A</v>
      </c>
      <c r="AT33" t="e">
        <f t="shared" si="42"/>
        <v>#N/A</v>
      </c>
      <c r="AU33" t="e">
        <f t="shared" si="42"/>
        <v>#N/A</v>
      </c>
      <c r="AV33" t="e">
        <f t="shared" si="42"/>
        <v>#N/A</v>
      </c>
      <c r="AW33" t="e">
        <f t="shared" si="42"/>
        <v>#N/A</v>
      </c>
      <c r="AX33" t="e">
        <f t="shared" si="42"/>
        <v>#N/A</v>
      </c>
      <c r="AY33" t="e">
        <f t="shared" si="42"/>
        <v>#N/A</v>
      </c>
      <c r="AZ33" t="e">
        <f t="shared" si="42"/>
        <v>#N/A</v>
      </c>
      <c r="BA33" t="e">
        <f t="shared" si="42"/>
        <v>#N/A</v>
      </c>
      <c r="BB33" t="e">
        <f t="shared" si="43"/>
        <v>#N/A</v>
      </c>
      <c r="BC33" t="e">
        <f t="shared" si="43"/>
        <v>#N/A</v>
      </c>
      <c r="BD33" t="e">
        <f t="shared" si="43"/>
        <v>#N/A</v>
      </c>
      <c r="BE33" t="e">
        <f t="shared" si="43"/>
        <v>#N/A</v>
      </c>
      <c r="BF33" t="e">
        <f t="shared" si="43"/>
        <v>#N/A</v>
      </c>
      <c r="BG33" t="e">
        <f t="shared" si="43"/>
        <v>#N/A</v>
      </c>
      <c r="BH33" t="e">
        <f t="shared" si="43"/>
        <v>#N/A</v>
      </c>
      <c r="BI33" t="e">
        <f t="shared" si="43"/>
        <v>#N/A</v>
      </c>
      <c r="BJ33" t="e">
        <f t="shared" si="43"/>
        <v>#N/A</v>
      </c>
      <c r="BK33" t="e">
        <f t="shared" si="43"/>
        <v>#N/A</v>
      </c>
      <c r="BL33" t="e">
        <f t="shared" si="44"/>
        <v>#N/A</v>
      </c>
      <c r="BM33" t="e">
        <f t="shared" si="44"/>
        <v>#N/A</v>
      </c>
      <c r="BN33" t="e">
        <f t="shared" si="44"/>
        <v>#N/A</v>
      </c>
      <c r="BO33" t="e">
        <f t="shared" si="44"/>
        <v>#N/A</v>
      </c>
      <c r="BP33" t="e">
        <f t="shared" si="44"/>
        <v>#N/A</v>
      </c>
      <c r="BQ33" t="e">
        <f t="shared" si="44"/>
        <v>#N/A</v>
      </c>
      <c r="BR33" t="e">
        <f t="shared" si="44"/>
        <v>#N/A</v>
      </c>
      <c r="BS33" t="e">
        <f t="shared" si="44"/>
        <v>#N/A</v>
      </c>
      <c r="BT33" t="e">
        <f t="shared" si="44"/>
        <v>#N/A</v>
      </c>
      <c r="BU33" t="e">
        <f t="shared" si="44"/>
        <v>#N/A</v>
      </c>
      <c r="BV33" t="e">
        <f t="shared" si="45"/>
        <v>#N/A</v>
      </c>
      <c r="BW33" t="e">
        <f t="shared" si="45"/>
        <v>#N/A</v>
      </c>
      <c r="BX33" t="e">
        <f t="shared" si="45"/>
        <v>#N/A</v>
      </c>
      <c r="BY33" t="e">
        <f t="shared" si="45"/>
        <v>#N/A</v>
      </c>
      <c r="BZ33" t="e">
        <f t="shared" si="45"/>
        <v>#N/A</v>
      </c>
      <c r="CA33" t="e">
        <f t="shared" si="45"/>
        <v>#N/A</v>
      </c>
      <c r="CB33" t="e">
        <f t="shared" si="45"/>
        <v>#N/A</v>
      </c>
      <c r="CC33" t="e">
        <f t="shared" si="45"/>
        <v>#N/A</v>
      </c>
      <c r="CD33" t="e">
        <f t="shared" si="45"/>
        <v>#N/A</v>
      </c>
      <c r="CE33" t="e">
        <f t="shared" si="45"/>
        <v>#N/A</v>
      </c>
      <c r="CF33" t="e">
        <f t="shared" si="45"/>
        <v>#N/A</v>
      </c>
      <c r="CG33" t="e">
        <f t="shared" si="45"/>
        <v>#N/A</v>
      </c>
      <c r="CH33" t="e">
        <f t="shared" si="45"/>
        <v>#N/A</v>
      </c>
      <c r="CI33" t="e">
        <f t="shared" si="46"/>
        <v>#N/A</v>
      </c>
      <c r="CJ33" t="e">
        <f t="shared" si="46"/>
        <v>#N/A</v>
      </c>
      <c r="CK33" t="e">
        <f t="shared" si="46"/>
        <v>#N/A</v>
      </c>
      <c r="CL33" t="e">
        <f t="shared" si="46"/>
        <v>#N/A</v>
      </c>
      <c r="CM33" t="e">
        <f t="shared" si="46"/>
        <v>#N/A</v>
      </c>
    </row>
    <row r="34" spans="1:91">
      <c r="B34" s="6">
        <f>入力欄!G8</f>
        <v>0</v>
      </c>
      <c r="D34" t="e">
        <f t="shared" si="38"/>
        <v>#N/A</v>
      </c>
      <c r="E34" t="e">
        <f t="shared" si="38"/>
        <v>#N/A</v>
      </c>
      <c r="F34" t="e">
        <f t="shared" si="38"/>
        <v>#N/A</v>
      </c>
      <c r="G34" t="e">
        <f t="shared" si="38"/>
        <v>#N/A</v>
      </c>
      <c r="H34" t="e">
        <f t="shared" si="38"/>
        <v>#N/A</v>
      </c>
      <c r="I34" t="e">
        <f t="shared" si="38"/>
        <v>#N/A</v>
      </c>
      <c r="J34" t="e">
        <f t="shared" si="38"/>
        <v>#N/A</v>
      </c>
      <c r="K34" t="e">
        <f t="shared" si="38"/>
        <v>#N/A</v>
      </c>
      <c r="L34" t="e">
        <f t="shared" si="38"/>
        <v>#N/A</v>
      </c>
      <c r="M34" t="e">
        <f t="shared" si="38"/>
        <v>#N/A</v>
      </c>
      <c r="N34" t="e">
        <f t="shared" si="39"/>
        <v>#N/A</v>
      </c>
      <c r="O34" t="e">
        <f t="shared" si="39"/>
        <v>#N/A</v>
      </c>
      <c r="P34" t="e">
        <f t="shared" si="39"/>
        <v>#N/A</v>
      </c>
      <c r="Q34" t="e">
        <f t="shared" si="39"/>
        <v>#N/A</v>
      </c>
      <c r="R34" t="e">
        <f t="shared" si="39"/>
        <v>#N/A</v>
      </c>
      <c r="S34" t="e">
        <f t="shared" si="39"/>
        <v>#N/A</v>
      </c>
      <c r="T34" t="e">
        <f t="shared" si="39"/>
        <v>#N/A</v>
      </c>
      <c r="U34" t="e">
        <f t="shared" si="39"/>
        <v>#N/A</v>
      </c>
      <c r="V34" t="e">
        <f t="shared" si="39"/>
        <v>#N/A</v>
      </c>
      <c r="W34" t="e">
        <f t="shared" si="39"/>
        <v>#N/A</v>
      </c>
      <c r="X34" t="e">
        <f t="shared" si="40"/>
        <v>#N/A</v>
      </c>
      <c r="Y34" t="e">
        <f t="shared" si="40"/>
        <v>#N/A</v>
      </c>
      <c r="Z34" t="e">
        <f t="shared" si="40"/>
        <v>#N/A</v>
      </c>
      <c r="AA34" t="e">
        <f t="shared" si="40"/>
        <v>#N/A</v>
      </c>
      <c r="AB34" t="e">
        <f t="shared" si="40"/>
        <v>#N/A</v>
      </c>
      <c r="AC34" t="e">
        <f t="shared" si="40"/>
        <v>#N/A</v>
      </c>
      <c r="AD34" t="e">
        <f t="shared" si="40"/>
        <v>#N/A</v>
      </c>
      <c r="AE34" t="e">
        <f t="shared" si="40"/>
        <v>#N/A</v>
      </c>
      <c r="AF34" t="e">
        <f t="shared" si="40"/>
        <v>#N/A</v>
      </c>
      <c r="AG34" t="e">
        <f t="shared" si="40"/>
        <v>#N/A</v>
      </c>
      <c r="AH34" t="e">
        <f t="shared" si="41"/>
        <v>#N/A</v>
      </c>
      <c r="AI34" t="e">
        <f t="shared" si="41"/>
        <v>#N/A</v>
      </c>
      <c r="AJ34" t="e">
        <f t="shared" si="41"/>
        <v>#N/A</v>
      </c>
      <c r="AK34" t="e">
        <f t="shared" si="41"/>
        <v>#N/A</v>
      </c>
      <c r="AL34" t="e">
        <f t="shared" si="41"/>
        <v>#N/A</v>
      </c>
      <c r="AM34" t="e">
        <f t="shared" si="41"/>
        <v>#N/A</v>
      </c>
      <c r="AN34" t="e">
        <f t="shared" si="41"/>
        <v>#N/A</v>
      </c>
      <c r="AO34" t="e">
        <f t="shared" si="41"/>
        <v>#N/A</v>
      </c>
      <c r="AP34" t="e">
        <f t="shared" si="41"/>
        <v>#N/A</v>
      </c>
      <c r="AQ34" t="e">
        <f t="shared" si="41"/>
        <v>#N/A</v>
      </c>
      <c r="AR34" t="e">
        <f t="shared" si="42"/>
        <v>#N/A</v>
      </c>
      <c r="AS34" t="e">
        <f t="shared" si="42"/>
        <v>#N/A</v>
      </c>
      <c r="AT34" t="e">
        <f t="shared" si="42"/>
        <v>#N/A</v>
      </c>
      <c r="AU34" t="e">
        <f t="shared" si="42"/>
        <v>#N/A</v>
      </c>
      <c r="AV34" t="e">
        <f t="shared" si="42"/>
        <v>#N/A</v>
      </c>
      <c r="AW34" t="e">
        <f t="shared" si="42"/>
        <v>#N/A</v>
      </c>
      <c r="AX34" t="e">
        <f t="shared" si="42"/>
        <v>#N/A</v>
      </c>
      <c r="AY34" t="e">
        <f t="shared" si="42"/>
        <v>#N/A</v>
      </c>
      <c r="AZ34" t="e">
        <f t="shared" si="42"/>
        <v>#N/A</v>
      </c>
      <c r="BA34" t="e">
        <f t="shared" si="42"/>
        <v>#N/A</v>
      </c>
      <c r="BB34" t="e">
        <f t="shared" si="43"/>
        <v>#N/A</v>
      </c>
      <c r="BC34" t="e">
        <f t="shared" si="43"/>
        <v>#N/A</v>
      </c>
      <c r="BD34" t="e">
        <f t="shared" si="43"/>
        <v>#N/A</v>
      </c>
      <c r="BE34" t="e">
        <f t="shared" si="43"/>
        <v>#N/A</v>
      </c>
      <c r="BF34" t="e">
        <f t="shared" si="43"/>
        <v>#N/A</v>
      </c>
      <c r="BG34" t="e">
        <f t="shared" si="43"/>
        <v>#N/A</v>
      </c>
      <c r="BH34" t="e">
        <f t="shared" si="43"/>
        <v>#N/A</v>
      </c>
      <c r="BI34" t="e">
        <f t="shared" si="43"/>
        <v>#N/A</v>
      </c>
      <c r="BJ34" t="e">
        <f t="shared" si="43"/>
        <v>#N/A</v>
      </c>
      <c r="BK34" t="e">
        <f t="shared" si="43"/>
        <v>#N/A</v>
      </c>
      <c r="BL34" t="e">
        <f t="shared" si="44"/>
        <v>#N/A</v>
      </c>
      <c r="BM34" t="e">
        <f t="shared" si="44"/>
        <v>#N/A</v>
      </c>
      <c r="BN34" t="e">
        <f t="shared" si="44"/>
        <v>#N/A</v>
      </c>
      <c r="BO34" t="e">
        <f t="shared" si="44"/>
        <v>#N/A</v>
      </c>
      <c r="BP34" t="e">
        <f t="shared" si="44"/>
        <v>#N/A</v>
      </c>
      <c r="BQ34" t="e">
        <f t="shared" si="44"/>
        <v>#N/A</v>
      </c>
      <c r="BR34" t="e">
        <f t="shared" si="44"/>
        <v>#N/A</v>
      </c>
      <c r="BS34" t="e">
        <f t="shared" si="44"/>
        <v>#N/A</v>
      </c>
      <c r="BT34" t="e">
        <f t="shared" si="44"/>
        <v>#N/A</v>
      </c>
      <c r="BU34" t="e">
        <f t="shared" si="44"/>
        <v>#N/A</v>
      </c>
      <c r="BV34" t="e">
        <f t="shared" si="45"/>
        <v>#N/A</v>
      </c>
      <c r="BW34" t="e">
        <f t="shared" si="45"/>
        <v>#N/A</v>
      </c>
      <c r="BX34" t="e">
        <f t="shared" si="45"/>
        <v>#N/A</v>
      </c>
      <c r="BY34" t="e">
        <f t="shared" si="45"/>
        <v>#N/A</v>
      </c>
      <c r="BZ34" t="e">
        <f t="shared" si="45"/>
        <v>#N/A</v>
      </c>
      <c r="CA34" t="e">
        <f t="shared" si="45"/>
        <v>#N/A</v>
      </c>
      <c r="CB34" t="e">
        <f t="shared" si="45"/>
        <v>#N/A</v>
      </c>
      <c r="CC34" t="e">
        <f t="shared" si="45"/>
        <v>#N/A</v>
      </c>
      <c r="CD34" t="e">
        <f t="shared" si="45"/>
        <v>#N/A</v>
      </c>
      <c r="CE34" t="e">
        <f t="shared" si="45"/>
        <v>#N/A</v>
      </c>
      <c r="CF34" t="e">
        <f t="shared" si="45"/>
        <v>#N/A</v>
      </c>
      <c r="CG34" t="e">
        <f t="shared" si="45"/>
        <v>#N/A</v>
      </c>
      <c r="CH34" t="e">
        <f t="shared" si="45"/>
        <v>#N/A</v>
      </c>
      <c r="CI34" t="e">
        <f t="shared" si="46"/>
        <v>#N/A</v>
      </c>
      <c r="CJ34" t="e">
        <f t="shared" si="46"/>
        <v>#N/A</v>
      </c>
      <c r="CK34" t="e">
        <f t="shared" si="46"/>
        <v>#N/A</v>
      </c>
      <c r="CL34" t="e">
        <f t="shared" si="46"/>
        <v>#N/A</v>
      </c>
      <c r="CM34" t="e">
        <f t="shared" si="46"/>
        <v>#N/A</v>
      </c>
    </row>
    <row r="35" spans="1:91">
      <c r="B35" s="6">
        <f>入力欄!G9</f>
        <v>0</v>
      </c>
      <c r="D35" t="e">
        <f t="shared" si="38"/>
        <v>#N/A</v>
      </c>
      <c r="E35" t="e">
        <f t="shared" si="38"/>
        <v>#N/A</v>
      </c>
      <c r="F35" t="e">
        <f t="shared" si="38"/>
        <v>#N/A</v>
      </c>
      <c r="G35" t="e">
        <f t="shared" si="38"/>
        <v>#N/A</v>
      </c>
      <c r="H35" t="e">
        <f t="shared" si="38"/>
        <v>#N/A</v>
      </c>
      <c r="I35" t="e">
        <f t="shared" si="38"/>
        <v>#N/A</v>
      </c>
      <c r="J35" t="e">
        <f t="shared" si="38"/>
        <v>#N/A</v>
      </c>
      <c r="K35" t="e">
        <f t="shared" si="38"/>
        <v>#N/A</v>
      </c>
      <c r="L35" t="e">
        <f t="shared" si="38"/>
        <v>#N/A</v>
      </c>
      <c r="M35" t="e">
        <f t="shared" si="38"/>
        <v>#N/A</v>
      </c>
      <c r="N35" t="e">
        <f t="shared" si="39"/>
        <v>#N/A</v>
      </c>
      <c r="O35" t="e">
        <f t="shared" si="39"/>
        <v>#N/A</v>
      </c>
      <c r="P35" t="e">
        <f t="shared" si="39"/>
        <v>#N/A</v>
      </c>
      <c r="Q35" t="e">
        <f t="shared" si="39"/>
        <v>#N/A</v>
      </c>
      <c r="R35" t="e">
        <f t="shared" si="39"/>
        <v>#N/A</v>
      </c>
      <c r="S35" t="e">
        <f t="shared" si="39"/>
        <v>#N/A</v>
      </c>
      <c r="T35" t="e">
        <f t="shared" si="39"/>
        <v>#N/A</v>
      </c>
      <c r="U35" t="e">
        <f t="shared" si="39"/>
        <v>#N/A</v>
      </c>
      <c r="V35" t="e">
        <f t="shared" si="39"/>
        <v>#N/A</v>
      </c>
      <c r="W35" t="e">
        <f t="shared" si="39"/>
        <v>#N/A</v>
      </c>
      <c r="X35" t="e">
        <f t="shared" si="40"/>
        <v>#N/A</v>
      </c>
      <c r="Y35" t="e">
        <f t="shared" si="40"/>
        <v>#N/A</v>
      </c>
      <c r="Z35" t="e">
        <f t="shared" si="40"/>
        <v>#N/A</v>
      </c>
      <c r="AA35" t="e">
        <f t="shared" si="40"/>
        <v>#N/A</v>
      </c>
      <c r="AB35" t="e">
        <f t="shared" si="40"/>
        <v>#N/A</v>
      </c>
      <c r="AC35" t="e">
        <f t="shared" si="40"/>
        <v>#N/A</v>
      </c>
      <c r="AD35" t="e">
        <f t="shared" si="40"/>
        <v>#N/A</v>
      </c>
      <c r="AE35" t="e">
        <f t="shared" si="40"/>
        <v>#N/A</v>
      </c>
      <c r="AF35" t="e">
        <f t="shared" si="40"/>
        <v>#N/A</v>
      </c>
      <c r="AG35" t="e">
        <f t="shared" si="40"/>
        <v>#N/A</v>
      </c>
      <c r="AH35" t="e">
        <f t="shared" si="41"/>
        <v>#N/A</v>
      </c>
      <c r="AI35" t="e">
        <f t="shared" si="41"/>
        <v>#N/A</v>
      </c>
      <c r="AJ35" t="e">
        <f t="shared" si="41"/>
        <v>#N/A</v>
      </c>
      <c r="AK35" t="e">
        <f t="shared" si="41"/>
        <v>#N/A</v>
      </c>
      <c r="AL35" t="e">
        <f t="shared" si="41"/>
        <v>#N/A</v>
      </c>
      <c r="AM35" t="e">
        <f t="shared" si="41"/>
        <v>#N/A</v>
      </c>
      <c r="AN35" t="e">
        <f t="shared" si="41"/>
        <v>#N/A</v>
      </c>
      <c r="AO35" t="e">
        <f t="shared" si="41"/>
        <v>#N/A</v>
      </c>
      <c r="AP35" t="e">
        <f t="shared" si="41"/>
        <v>#N/A</v>
      </c>
      <c r="AQ35" t="e">
        <f t="shared" si="41"/>
        <v>#N/A</v>
      </c>
      <c r="AR35" t="e">
        <f t="shared" si="42"/>
        <v>#N/A</v>
      </c>
      <c r="AS35" t="e">
        <f t="shared" si="42"/>
        <v>#N/A</v>
      </c>
      <c r="AT35" t="e">
        <f t="shared" si="42"/>
        <v>#N/A</v>
      </c>
      <c r="AU35" t="e">
        <f t="shared" si="42"/>
        <v>#N/A</v>
      </c>
      <c r="AV35" t="e">
        <f t="shared" si="42"/>
        <v>#N/A</v>
      </c>
      <c r="AW35" t="e">
        <f t="shared" si="42"/>
        <v>#N/A</v>
      </c>
      <c r="AX35" t="e">
        <f t="shared" si="42"/>
        <v>#N/A</v>
      </c>
      <c r="AY35" t="e">
        <f t="shared" si="42"/>
        <v>#N/A</v>
      </c>
      <c r="AZ35" t="e">
        <f t="shared" si="42"/>
        <v>#N/A</v>
      </c>
      <c r="BA35" t="e">
        <f t="shared" si="42"/>
        <v>#N/A</v>
      </c>
      <c r="BB35" t="e">
        <f t="shared" si="43"/>
        <v>#N/A</v>
      </c>
      <c r="BC35" t="e">
        <f t="shared" si="43"/>
        <v>#N/A</v>
      </c>
      <c r="BD35" t="e">
        <f t="shared" si="43"/>
        <v>#N/A</v>
      </c>
      <c r="BE35" t="e">
        <f t="shared" si="43"/>
        <v>#N/A</v>
      </c>
      <c r="BF35" t="e">
        <f t="shared" si="43"/>
        <v>#N/A</v>
      </c>
      <c r="BG35" t="e">
        <f t="shared" si="43"/>
        <v>#N/A</v>
      </c>
      <c r="BH35" t="e">
        <f t="shared" si="43"/>
        <v>#N/A</v>
      </c>
      <c r="BI35" t="e">
        <f t="shared" si="43"/>
        <v>#N/A</v>
      </c>
      <c r="BJ35" t="e">
        <f t="shared" si="43"/>
        <v>#N/A</v>
      </c>
      <c r="BK35" t="e">
        <f t="shared" si="43"/>
        <v>#N/A</v>
      </c>
      <c r="BL35" t="e">
        <f t="shared" si="44"/>
        <v>#N/A</v>
      </c>
      <c r="BM35" t="e">
        <f t="shared" si="44"/>
        <v>#N/A</v>
      </c>
      <c r="BN35" t="e">
        <f t="shared" si="44"/>
        <v>#N/A</v>
      </c>
      <c r="BO35" t="e">
        <f t="shared" si="44"/>
        <v>#N/A</v>
      </c>
      <c r="BP35" t="e">
        <f t="shared" si="44"/>
        <v>#N/A</v>
      </c>
      <c r="BQ35" t="e">
        <f t="shared" si="44"/>
        <v>#N/A</v>
      </c>
      <c r="BR35" t="e">
        <f t="shared" si="44"/>
        <v>#N/A</v>
      </c>
      <c r="BS35" t="e">
        <f t="shared" si="44"/>
        <v>#N/A</v>
      </c>
      <c r="BT35" t="e">
        <f t="shared" si="44"/>
        <v>#N/A</v>
      </c>
      <c r="BU35" t="e">
        <f t="shared" si="44"/>
        <v>#N/A</v>
      </c>
      <c r="BV35" t="e">
        <f t="shared" si="45"/>
        <v>#N/A</v>
      </c>
      <c r="BW35" t="e">
        <f t="shared" si="45"/>
        <v>#N/A</v>
      </c>
      <c r="BX35" t="e">
        <f t="shared" si="45"/>
        <v>#N/A</v>
      </c>
      <c r="BY35" t="e">
        <f t="shared" si="45"/>
        <v>#N/A</v>
      </c>
      <c r="BZ35" t="e">
        <f t="shared" si="45"/>
        <v>#N/A</v>
      </c>
      <c r="CA35" t="e">
        <f t="shared" si="45"/>
        <v>#N/A</v>
      </c>
      <c r="CB35" t="e">
        <f t="shared" si="45"/>
        <v>#N/A</v>
      </c>
      <c r="CC35" t="e">
        <f t="shared" si="45"/>
        <v>#N/A</v>
      </c>
      <c r="CD35" t="e">
        <f t="shared" si="45"/>
        <v>#N/A</v>
      </c>
      <c r="CE35" t="e">
        <f t="shared" si="45"/>
        <v>#N/A</v>
      </c>
      <c r="CF35" t="e">
        <f t="shared" si="45"/>
        <v>#N/A</v>
      </c>
      <c r="CG35" t="e">
        <f t="shared" si="45"/>
        <v>#N/A</v>
      </c>
      <c r="CH35" t="e">
        <f t="shared" si="45"/>
        <v>#N/A</v>
      </c>
      <c r="CI35" t="e">
        <f t="shared" si="46"/>
        <v>#N/A</v>
      </c>
      <c r="CJ35" t="e">
        <f t="shared" si="46"/>
        <v>#N/A</v>
      </c>
      <c r="CK35" t="e">
        <f t="shared" si="46"/>
        <v>#N/A</v>
      </c>
      <c r="CL35" t="e">
        <f t="shared" si="46"/>
        <v>#N/A</v>
      </c>
      <c r="CM35" t="e">
        <f t="shared" si="46"/>
        <v>#N/A</v>
      </c>
    </row>
    <row r="36" spans="1:91">
      <c r="B36" s="6">
        <f>入力欄!G10</f>
        <v>0</v>
      </c>
      <c r="D36" t="e">
        <f t="shared" si="38"/>
        <v>#N/A</v>
      </c>
      <c r="E36" t="e">
        <f t="shared" si="38"/>
        <v>#N/A</v>
      </c>
      <c r="F36" t="e">
        <f t="shared" si="38"/>
        <v>#N/A</v>
      </c>
      <c r="G36" t="e">
        <f t="shared" si="38"/>
        <v>#N/A</v>
      </c>
      <c r="H36" t="e">
        <f t="shared" si="38"/>
        <v>#N/A</v>
      </c>
      <c r="I36" t="e">
        <f t="shared" si="38"/>
        <v>#N/A</v>
      </c>
      <c r="J36" t="e">
        <f t="shared" si="38"/>
        <v>#N/A</v>
      </c>
      <c r="K36" t="e">
        <f t="shared" si="38"/>
        <v>#N/A</v>
      </c>
      <c r="L36" t="e">
        <f t="shared" si="38"/>
        <v>#N/A</v>
      </c>
      <c r="M36" t="e">
        <f t="shared" si="38"/>
        <v>#N/A</v>
      </c>
      <c r="N36" t="e">
        <f t="shared" si="39"/>
        <v>#N/A</v>
      </c>
      <c r="O36" t="e">
        <f t="shared" si="39"/>
        <v>#N/A</v>
      </c>
      <c r="P36" t="e">
        <f t="shared" si="39"/>
        <v>#N/A</v>
      </c>
      <c r="Q36" t="e">
        <f t="shared" si="39"/>
        <v>#N/A</v>
      </c>
      <c r="R36" t="e">
        <f t="shared" si="39"/>
        <v>#N/A</v>
      </c>
      <c r="S36" t="e">
        <f t="shared" si="39"/>
        <v>#N/A</v>
      </c>
      <c r="T36" t="e">
        <f t="shared" si="39"/>
        <v>#N/A</v>
      </c>
      <c r="U36" t="e">
        <f t="shared" si="39"/>
        <v>#N/A</v>
      </c>
      <c r="V36" t="e">
        <f t="shared" si="39"/>
        <v>#N/A</v>
      </c>
      <c r="W36" t="e">
        <f t="shared" si="39"/>
        <v>#N/A</v>
      </c>
      <c r="X36" t="e">
        <f t="shared" si="40"/>
        <v>#N/A</v>
      </c>
      <c r="Y36" t="e">
        <f t="shared" si="40"/>
        <v>#N/A</v>
      </c>
      <c r="Z36" t="e">
        <f t="shared" si="40"/>
        <v>#N/A</v>
      </c>
      <c r="AA36" t="e">
        <f t="shared" si="40"/>
        <v>#N/A</v>
      </c>
      <c r="AB36" t="e">
        <f t="shared" si="40"/>
        <v>#N/A</v>
      </c>
      <c r="AC36" t="e">
        <f t="shared" si="40"/>
        <v>#N/A</v>
      </c>
      <c r="AD36" t="e">
        <f t="shared" si="40"/>
        <v>#N/A</v>
      </c>
      <c r="AE36" t="e">
        <f t="shared" si="40"/>
        <v>#N/A</v>
      </c>
      <c r="AF36" t="e">
        <f t="shared" si="40"/>
        <v>#N/A</v>
      </c>
      <c r="AG36" t="e">
        <f t="shared" si="40"/>
        <v>#N/A</v>
      </c>
      <c r="AH36" t="e">
        <f t="shared" si="41"/>
        <v>#N/A</v>
      </c>
      <c r="AI36" t="e">
        <f t="shared" si="41"/>
        <v>#N/A</v>
      </c>
      <c r="AJ36" t="e">
        <f t="shared" si="41"/>
        <v>#N/A</v>
      </c>
      <c r="AK36" t="e">
        <f t="shared" si="41"/>
        <v>#N/A</v>
      </c>
      <c r="AL36" t="e">
        <f t="shared" si="41"/>
        <v>#N/A</v>
      </c>
      <c r="AM36" t="e">
        <f t="shared" si="41"/>
        <v>#N/A</v>
      </c>
      <c r="AN36" t="e">
        <f t="shared" si="41"/>
        <v>#N/A</v>
      </c>
      <c r="AO36" t="e">
        <f t="shared" si="41"/>
        <v>#N/A</v>
      </c>
      <c r="AP36" t="e">
        <f t="shared" si="41"/>
        <v>#N/A</v>
      </c>
      <c r="AQ36" t="e">
        <f t="shared" si="41"/>
        <v>#N/A</v>
      </c>
      <c r="AR36" t="e">
        <f t="shared" si="42"/>
        <v>#N/A</v>
      </c>
      <c r="AS36" t="e">
        <f t="shared" si="42"/>
        <v>#N/A</v>
      </c>
      <c r="AT36" t="e">
        <f t="shared" si="42"/>
        <v>#N/A</v>
      </c>
      <c r="AU36" t="e">
        <f t="shared" si="42"/>
        <v>#N/A</v>
      </c>
      <c r="AV36" t="e">
        <f t="shared" si="42"/>
        <v>#N/A</v>
      </c>
      <c r="AW36" t="e">
        <f t="shared" si="42"/>
        <v>#N/A</v>
      </c>
      <c r="AX36" t="e">
        <f t="shared" si="42"/>
        <v>#N/A</v>
      </c>
      <c r="AY36" t="e">
        <f t="shared" si="42"/>
        <v>#N/A</v>
      </c>
      <c r="AZ36" t="e">
        <f t="shared" si="42"/>
        <v>#N/A</v>
      </c>
      <c r="BA36" t="e">
        <f t="shared" si="42"/>
        <v>#N/A</v>
      </c>
      <c r="BB36" t="e">
        <f t="shared" si="43"/>
        <v>#N/A</v>
      </c>
      <c r="BC36" t="e">
        <f t="shared" si="43"/>
        <v>#N/A</v>
      </c>
      <c r="BD36" t="e">
        <f t="shared" si="43"/>
        <v>#N/A</v>
      </c>
      <c r="BE36" t="e">
        <f t="shared" si="43"/>
        <v>#N/A</v>
      </c>
      <c r="BF36" t="e">
        <f t="shared" si="43"/>
        <v>#N/A</v>
      </c>
      <c r="BG36" t="e">
        <f t="shared" si="43"/>
        <v>#N/A</v>
      </c>
      <c r="BH36" t="e">
        <f t="shared" si="43"/>
        <v>#N/A</v>
      </c>
      <c r="BI36" t="e">
        <f t="shared" si="43"/>
        <v>#N/A</v>
      </c>
      <c r="BJ36" t="e">
        <f t="shared" si="43"/>
        <v>#N/A</v>
      </c>
      <c r="BK36" t="e">
        <f t="shared" si="43"/>
        <v>#N/A</v>
      </c>
      <c r="BL36" t="e">
        <f t="shared" si="44"/>
        <v>#N/A</v>
      </c>
      <c r="BM36" t="e">
        <f t="shared" si="44"/>
        <v>#N/A</v>
      </c>
      <c r="BN36" t="e">
        <f t="shared" si="44"/>
        <v>#N/A</v>
      </c>
      <c r="BO36" t="e">
        <f t="shared" si="44"/>
        <v>#N/A</v>
      </c>
      <c r="BP36" t="e">
        <f t="shared" si="44"/>
        <v>#N/A</v>
      </c>
      <c r="BQ36" t="e">
        <f t="shared" si="44"/>
        <v>#N/A</v>
      </c>
      <c r="BR36" t="e">
        <f t="shared" si="44"/>
        <v>#N/A</v>
      </c>
      <c r="BS36" t="e">
        <f t="shared" si="44"/>
        <v>#N/A</v>
      </c>
      <c r="BT36" t="e">
        <f t="shared" si="44"/>
        <v>#N/A</v>
      </c>
      <c r="BU36" t="e">
        <f t="shared" si="44"/>
        <v>#N/A</v>
      </c>
      <c r="BV36" t="e">
        <f t="shared" si="45"/>
        <v>#N/A</v>
      </c>
      <c r="BW36" t="e">
        <f t="shared" si="45"/>
        <v>#N/A</v>
      </c>
      <c r="BX36" t="e">
        <f t="shared" si="45"/>
        <v>#N/A</v>
      </c>
      <c r="BY36" t="e">
        <f t="shared" si="45"/>
        <v>#N/A</v>
      </c>
      <c r="BZ36" t="e">
        <f t="shared" si="45"/>
        <v>#N/A</v>
      </c>
      <c r="CA36" t="e">
        <f t="shared" si="45"/>
        <v>#N/A</v>
      </c>
      <c r="CB36" t="e">
        <f t="shared" si="45"/>
        <v>#N/A</v>
      </c>
      <c r="CC36" t="e">
        <f t="shared" si="45"/>
        <v>#N/A</v>
      </c>
      <c r="CD36" t="e">
        <f t="shared" si="45"/>
        <v>#N/A</v>
      </c>
      <c r="CE36" t="e">
        <f t="shared" si="45"/>
        <v>#N/A</v>
      </c>
      <c r="CF36" t="e">
        <f t="shared" si="45"/>
        <v>#N/A</v>
      </c>
      <c r="CG36" t="e">
        <f t="shared" si="45"/>
        <v>#N/A</v>
      </c>
      <c r="CH36" t="e">
        <f t="shared" si="45"/>
        <v>#N/A</v>
      </c>
      <c r="CI36" t="e">
        <f t="shared" si="46"/>
        <v>#N/A</v>
      </c>
      <c r="CJ36" t="e">
        <f t="shared" si="46"/>
        <v>#N/A</v>
      </c>
      <c r="CK36" t="e">
        <f t="shared" si="46"/>
        <v>#N/A</v>
      </c>
      <c r="CL36" t="e">
        <f t="shared" si="46"/>
        <v>#N/A</v>
      </c>
      <c r="CM36" t="e">
        <f t="shared" si="46"/>
        <v>#N/A</v>
      </c>
    </row>
    <row r="37" spans="1:91">
      <c r="B37" s="6">
        <f>入力欄!G11</f>
        <v>0</v>
      </c>
      <c r="D37" t="e">
        <f t="shared" si="38"/>
        <v>#N/A</v>
      </c>
      <c r="E37" t="e">
        <f t="shared" si="38"/>
        <v>#N/A</v>
      </c>
      <c r="F37" t="e">
        <f t="shared" si="38"/>
        <v>#N/A</v>
      </c>
      <c r="G37" t="e">
        <f t="shared" si="38"/>
        <v>#N/A</v>
      </c>
      <c r="H37" t="e">
        <f t="shared" si="38"/>
        <v>#N/A</v>
      </c>
      <c r="I37" t="e">
        <f t="shared" si="38"/>
        <v>#N/A</v>
      </c>
      <c r="J37" t="e">
        <f t="shared" si="38"/>
        <v>#N/A</v>
      </c>
      <c r="K37" t="e">
        <f t="shared" si="38"/>
        <v>#N/A</v>
      </c>
      <c r="L37" t="e">
        <f t="shared" si="38"/>
        <v>#N/A</v>
      </c>
      <c r="M37" t="e">
        <f t="shared" si="38"/>
        <v>#N/A</v>
      </c>
      <c r="N37" t="e">
        <f t="shared" si="39"/>
        <v>#N/A</v>
      </c>
      <c r="O37" t="e">
        <f t="shared" si="39"/>
        <v>#N/A</v>
      </c>
      <c r="P37" t="e">
        <f t="shared" si="39"/>
        <v>#N/A</v>
      </c>
      <c r="Q37" t="e">
        <f t="shared" si="39"/>
        <v>#N/A</v>
      </c>
      <c r="R37" t="e">
        <f t="shared" si="39"/>
        <v>#N/A</v>
      </c>
      <c r="S37" t="e">
        <f t="shared" si="39"/>
        <v>#N/A</v>
      </c>
      <c r="T37" t="e">
        <f t="shared" si="39"/>
        <v>#N/A</v>
      </c>
      <c r="U37" t="e">
        <f t="shared" si="39"/>
        <v>#N/A</v>
      </c>
      <c r="V37" t="e">
        <f t="shared" si="39"/>
        <v>#N/A</v>
      </c>
      <c r="W37" t="e">
        <f t="shared" si="39"/>
        <v>#N/A</v>
      </c>
      <c r="X37" t="e">
        <f t="shared" si="40"/>
        <v>#N/A</v>
      </c>
      <c r="Y37" t="e">
        <f t="shared" si="40"/>
        <v>#N/A</v>
      </c>
      <c r="Z37" t="e">
        <f t="shared" si="40"/>
        <v>#N/A</v>
      </c>
      <c r="AA37" t="e">
        <f t="shared" si="40"/>
        <v>#N/A</v>
      </c>
      <c r="AB37" t="e">
        <f t="shared" si="40"/>
        <v>#N/A</v>
      </c>
      <c r="AC37" t="e">
        <f t="shared" si="40"/>
        <v>#N/A</v>
      </c>
      <c r="AD37" t="e">
        <f t="shared" si="40"/>
        <v>#N/A</v>
      </c>
      <c r="AE37" t="e">
        <f t="shared" si="40"/>
        <v>#N/A</v>
      </c>
      <c r="AF37" t="e">
        <f t="shared" si="40"/>
        <v>#N/A</v>
      </c>
      <c r="AG37" t="e">
        <f t="shared" si="40"/>
        <v>#N/A</v>
      </c>
      <c r="AH37" t="e">
        <f t="shared" si="41"/>
        <v>#N/A</v>
      </c>
      <c r="AI37" t="e">
        <f t="shared" si="41"/>
        <v>#N/A</v>
      </c>
      <c r="AJ37" t="e">
        <f t="shared" si="41"/>
        <v>#N/A</v>
      </c>
      <c r="AK37" t="e">
        <f t="shared" si="41"/>
        <v>#N/A</v>
      </c>
      <c r="AL37" t="e">
        <f t="shared" si="41"/>
        <v>#N/A</v>
      </c>
      <c r="AM37" t="e">
        <f t="shared" si="41"/>
        <v>#N/A</v>
      </c>
      <c r="AN37" t="e">
        <f t="shared" si="41"/>
        <v>#N/A</v>
      </c>
      <c r="AO37" t="e">
        <f t="shared" si="41"/>
        <v>#N/A</v>
      </c>
      <c r="AP37" t="e">
        <f t="shared" si="41"/>
        <v>#N/A</v>
      </c>
      <c r="AQ37" t="e">
        <f t="shared" si="41"/>
        <v>#N/A</v>
      </c>
      <c r="AR37" t="e">
        <f t="shared" si="42"/>
        <v>#N/A</v>
      </c>
      <c r="AS37" t="e">
        <f t="shared" si="42"/>
        <v>#N/A</v>
      </c>
      <c r="AT37" t="e">
        <f t="shared" si="42"/>
        <v>#N/A</v>
      </c>
      <c r="AU37" t="e">
        <f t="shared" si="42"/>
        <v>#N/A</v>
      </c>
      <c r="AV37" t="e">
        <f t="shared" si="42"/>
        <v>#N/A</v>
      </c>
      <c r="AW37" t="e">
        <f t="shared" si="42"/>
        <v>#N/A</v>
      </c>
      <c r="AX37" t="e">
        <f t="shared" si="42"/>
        <v>#N/A</v>
      </c>
      <c r="AY37" t="e">
        <f t="shared" si="42"/>
        <v>#N/A</v>
      </c>
      <c r="AZ37" t="e">
        <f t="shared" si="42"/>
        <v>#N/A</v>
      </c>
      <c r="BA37" t="e">
        <f t="shared" si="42"/>
        <v>#N/A</v>
      </c>
      <c r="BB37" t="e">
        <f t="shared" si="43"/>
        <v>#N/A</v>
      </c>
      <c r="BC37" t="e">
        <f t="shared" si="43"/>
        <v>#N/A</v>
      </c>
      <c r="BD37" t="e">
        <f t="shared" si="43"/>
        <v>#N/A</v>
      </c>
      <c r="BE37" t="e">
        <f t="shared" si="43"/>
        <v>#N/A</v>
      </c>
      <c r="BF37" t="e">
        <f t="shared" si="43"/>
        <v>#N/A</v>
      </c>
      <c r="BG37" t="e">
        <f t="shared" si="43"/>
        <v>#N/A</v>
      </c>
      <c r="BH37" t="e">
        <f t="shared" si="43"/>
        <v>#N/A</v>
      </c>
      <c r="BI37" t="e">
        <f t="shared" si="43"/>
        <v>#N/A</v>
      </c>
      <c r="BJ37" t="e">
        <f t="shared" si="43"/>
        <v>#N/A</v>
      </c>
      <c r="BK37" t="e">
        <f t="shared" si="43"/>
        <v>#N/A</v>
      </c>
      <c r="BL37" t="e">
        <f t="shared" si="44"/>
        <v>#N/A</v>
      </c>
      <c r="BM37" t="e">
        <f t="shared" si="44"/>
        <v>#N/A</v>
      </c>
      <c r="BN37" t="e">
        <f t="shared" si="44"/>
        <v>#N/A</v>
      </c>
      <c r="BO37" t="e">
        <f t="shared" si="44"/>
        <v>#N/A</v>
      </c>
      <c r="BP37" t="e">
        <f t="shared" si="44"/>
        <v>#N/A</v>
      </c>
      <c r="BQ37" t="e">
        <f t="shared" si="44"/>
        <v>#N/A</v>
      </c>
      <c r="BR37" t="e">
        <f t="shared" si="44"/>
        <v>#N/A</v>
      </c>
      <c r="BS37" t="e">
        <f t="shared" si="44"/>
        <v>#N/A</v>
      </c>
      <c r="BT37" t="e">
        <f t="shared" si="44"/>
        <v>#N/A</v>
      </c>
      <c r="BU37" t="e">
        <f t="shared" si="44"/>
        <v>#N/A</v>
      </c>
      <c r="BV37" t="e">
        <f t="shared" si="45"/>
        <v>#N/A</v>
      </c>
      <c r="BW37" t="e">
        <f t="shared" si="45"/>
        <v>#N/A</v>
      </c>
      <c r="BX37" t="e">
        <f t="shared" si="45"/>
        <v>#N/A</v>
      </c>
      <c r="BY37" t="e">
        <f t="shared" si="45"/>
        <v>#N/A</v>
      </c>
      <c r="BZ37" t="e">
        <f t="shared" si="45"/>
        <v>#N/A</v>
      </c>
      <c r="CA37" t="e">
        <f t="shared" si="45"/>
        <v>#N/A</v>
      </c>
      <c r="CB37" t="e">
        <f t="shared" si="45"/>
        <v>#N/A</v>
      </c>
      <c r="CC37" t="e">
        <f t="shared" si="45"/>
        <v>#N/A</v>
      </c>
      <c r="CD37" t="e">
        <f t="shared" si="45"/>
        <v>#N/A</v>
      </c>
      <c r="CE37" t="e">
        <f t="shared" si="45"/>
        <v>#N/A</v>
      </c>
      <c r="CF37" t="e">
        <f t="shared" si="45"/>
        <v>#N/A</v>
      </c>
      <c r="CG37" t="e">
        <f t="shared" si="45"/>
        <v>#N/A</v>
      </c>
      <c r="CH37" t="e">
        <f t="shared" si="45"/>
        <v>#N/A</v>
      </c>
      <c r="CI37" t="e">
        <f t="shared" si="46"/>
        <v>#N/A</v>
      </c>
      <c r="CJ37" t="e">
        <f t="shared" si="46"/>
        <v>#N/A</v>
      </c>
      <c r="CK37" t="e">
        <f t="shared" si="46"/>
        <v>#N/A</v>
      </c>
      <c r="CL37" t="e">
        <f t="shared" si="46"/>
        <v>#N/A</v>
      </c>
      <c r="CM37" t="e">
        <f t="shared" si="46"/>
        <v>#N/A</v>
      </c>
    </row>
    <row r="38" spans="1:91">
      <c r="B38" s="6">
        <f>入力欄!G12</f>
        <v>0</v>
      </c>
      <c r="D38" t="e">
        <f t="shared" si="38"/>
        <v>#N/A</v>
      </c>
      <c r="E38" t="e">
        <f t="shared" si="38"/>
        <v>#N/A</v>
      </c>
      <c r="F38" t="e">
        <f t="shared" si="38"/>
        <v>#N/A</v>
      </c>
      <c r="G38" t="e">
        <f t="shared" si="38"/>
        <v>#N/A</v>
      </c>
      <c r="H38" t="e">
        <f t="shared" si="38"/>
        <v>#N/A</v>
      </c>
      <c r="I38" t="e">
        <f t="shared" si="38"/>
        <v>#N/A</v>
      </c>
      <c r="J38" t="e">
        <f t="shared" si="38"/>
        <v>#N/A</v>
      </c>
      <c r="K38" t="e">
        <f t="shared" si="38"/>
        <v>#N/A</v>
      </c>
      <c r="L38" t="e">
        <f t="shared" si="38"/>
        <v>#N/A</v>
      </c>
      <c r="M38" t="e">
        <f t="shared" si="38"/>
        <v>#N/A</v>
      </c>
      <c r="N38" t="e">
        <f t="shared" si="39"/>
        <v>#N/A</v>
      </c>
      <c r="O38" t="e">
        <f t="shared" si="39"/>
        <v>#N/A</v>
      </c>
      <c r="P38" t="e">
        <f t="shared" si="39"/>
        <v>#N/A</v>
      </c>
      <c r="Q38" t="e">
        <f t="shared" si="39"/>
        <v>#N/A</v>
      </c>
      <c r="R38" t="e">
        <f t="shared" si="39"/>
        <v>#N/A</v>
      </c>
      <c r="S38" t="e">
        <f t="shared" si="39"/>
        <v>#N/A</v>
      </c>
      <c r="T38" t="e">
        <f t="shared" si="39"/>
        <v>#N/A</v>
      </c>
      <c r="U38" t="e">
        <f t="shared" si="39"/>
        <v>#N/A</v>
      </c>
      <c r="V38" t="e">
        <f t="shared" si="39"/>
        <v>#N/A</v>
      </c>
      <c r="W38" t="e">
        <f t="shared" si="39"/>
        <v>#N/A</v>
      </c>
      <c r="X38" t="e">
        <f t="shared" si="40"/>
        <v>#N/A</v>
      </c>
      <c r="Y38" t="e">
        <f t="shared" si="40"/>
        <v>#N/A</v>
      </c>
      <c r="Z38" t="e">
        <f t="shared" si="40"/>
        <v>#N/A</v>
      </c>
      <c r="AA38" t="e">
        <f t="shared" si="40"/>
        <v>#N/A</v>
      </c>
      <c r="AB38" t="e">
        <f t="shared" si="40"/>
        <v>#N/A</v>
      </c>
      <c r="AC38" t="e">
        <f t="shared" si="40"/>
        <v>#N/A</v>
      </c>
      <c r="AD38" t="e">
        <f t="shared" si="40"/>
        <v>#N/A</v>
      </c>
      <c r="AE38" t="e">
        <f t="shared" si="40"/>
        <v>#N/A</v>
      </c>
      <c r="AF38" t="e">
        <f t="shared" si="40"/>
        <v>#N/A</v>
      </c>
      <c r="AG38" t="e">
        <f t="shared" si="40"/>
        <v>#N/A</v>
      </c>
      <c r="AH38" t="e">
        <f t="shared" si="41"/>
        <v>#N/A</v>
      </c>
      <c r="AI38" t="e">
        <f t="shared" si="41"/>
        <v>#N/A</v>
      </c>
      <c r="AJ38" t="e">
        <f t="shared" si="41"/>
        <v>#N/A</v>
      </c>
      <c r="AK38" t="e">
        <f t="shared" si="41"/>
        <v>#N/A</v>
      </c>
      <c r="AL38" t="e">
        <f t="shared" si="41"/>
        <v>#N/A</v>
      </c>
      <c r="AM38" t="e">
        <f t="shared" si="41"/>
        <v>#N/A</v>
      </c>
      <c r="AN38" t="e">
        <f t="shared" si="41"/>
        <v>#N/A</v>
      </c>
      <c r="AO38" t="e">
        <f t="shared" si="41"/>
        <v>#N/A</v>
      </c>
      <c r="AP38" t="e">
        <f t="shared" si="41"/>
        <v>#N/A</v>
      </c>
      <c r="AQ38" t="e">
        <f t="shared" si="41"/>
        <v>#N/A</v>
      </c>
      <c r="AR38" t="e">
        <f t="shared" si="42"/>
        <v>#N/A</v>
      </c>
      <c r="AS38" t="e">
        <f t="shared" si="42"/>
        <v>#N/A</v>
      </c>
      <c r="AT38" t="e">
        <f t="shared" si="42"/>
        <v>#N/A</v>
      </c>
      <c r="AU38" t="e">
        <f t="shared" si="42"/>
        <v>#N/A</v>
      </c>
      <c r="AV38" t="e">
        <f t="shared" si="42"/>
        <v>#N/A</v>
      </c>
      <c r="AW38" t="e">
        <f t="shared" si="42"/>
        <v>#N/A</v>
      </c>
      <c r="AX38" t="e">
        <f t="shared" si="42"/>
        <v>#N/A</v>
      </c>
      <c r="AY38" t="e">
        <f t="shared" si="42"/>
        <v>#N/A</v>
      </c>
      <c r="AZ38" t="e">
        <f t="shared" si="42"/>
        <v>#N/A</v>
      </c>
      <c r="BA38" t="e">
        <f t="shared" si="42"/>
        <v>#N/A</v>
      </c>
      <c r="BB38" t="e">
        <f t="shared" si="43"/>
        <v>#N/A</v>
      </c>
      <c r="BC38" t="e">
        <f t="shared" si="43"/>
        <v>#N/A</v>
      </c>
      <c r="BD38" t="e">
        <f t="shared" si="43"/>
        <v>#N/A</v>
      </c>
      <c r="BE38" t="e">
        <f t="shared" si="43"/>
        <v>#N/A</v>
      </c>
      <c r="BF38" t="e">
        <f t="shared" si="43"/>
        <v>#N/A</v>
      </c>
      <c r="BG38" t="e">
        <f t="shared" si="43"/>
        <v>#N/A</v>
      </c>
      <c r="BH38" t="e">
        <f t="shared" si="43"/>
        <v>#N/A</v>
      </c>
      <c r="BI38" t="e">
        <f t="shared" si="43"/>
        <v>#N/A</v>
      </c>
      <c r="BJ38" t="e">
        <f t="shared" si="43"/>
        <v>#N/A</v>
      </c>
      <c r="BK38" t="e">
        <f t="shared" si="43"/>
        <v>#N/A</v>
      </c>
      <c r="BL38" t="e">
        <f t="shared" si="44"/>
        <v>#N/A</v>
      </c>
      <c r="BM38" t="e">
        <f t="shared" si="44"/>
        <v>#N/A</v>
      </c>
      <c r="BN38" t="e">
        <f t="shared" si="44"/>
        <v>#N/A</v>
      </c>
      <c r="BO38" t="e">
        <f t="shared" si="44"/>
        <v>#N/A</v>
      </c>
      <c r="BP38" t="e">
        <f t="shared" si="44"/>
        <v>#N/A</v>
      </c>
      <c r="BQ38" t="e">
        <f t="shared" si="44"/>
        <v>#N/A</v>
      </c>
      <c r="BR38" t="e">
        <f t="shared" si="44"/>
        <v>#N/A</v>
      </c>
      <c r="BS38" t="e">
        <f t="shared" si="44"/>
        <v>#N/A</v>
      </c>
      <c r="BT38" t="e">
        <f t="shared" si="44"/>
        <v>#N/A</v>
      </c>
      <c r="BU38" t="e">
        <f t="shared" si="44"/>
        <v>#N/A</v>
      </c>
      <c r="BV38" t="e">
        <f t="shared" si="45"/>
        <v>#N/A</v>
      </c>
      <c r="BW38" t="e">
        <f t="shared" si="45"/>
        <v>#N/A</v>
      </c>
      <c r="BX38" t="e">
        <f t="shared" si="45"/>
        <v>#N/A</v>
      </c>
      <c r="BY38" t="e">
        <f t="shared" si="45"/>
        <v>#N/A</v>
      </c>
      <c r="BZ38" t="e">
        <f t="shared" si="45"/>
        <v>#N/A</v>
      </c>
      <c r="CA38" t="e">
        <f t="shared" si="45"/>
        <v>#N/A</v>
      </c>
      <c r="CB38" t="e">
        <f t="shared" si="45"/>
        <v>#N/A</v>
      </c>
      <c r="CC38" t="e">
        <f t="shared" si="45"/>
        <v>#N/A</v>
      </c>
      <c r="CD38" t="e">
        <f t="shared" si="45"/>
        <v>#N/A</v>
      </c>
      <c r="CE38" t="e">
        <f t="shared" si="45"/>
        <v>#N/A</v>
      </c>
      <c r="CF38" t="e">
        <f t="shared" si="45"/>
        <v>#N/A</v>
      </c>
      <c r="CG38" t="e">
        <f t="shared" si="45"/>
        <v>#N/A</v>
      </c>
      <c r="CH38" t="e">
        <f t="shared" si="45"/>
        <v>#N/A</v>
      </c>
      <c r="CI38" t="e">
        <f t="shared" si="46"/>
        <v>#N/A</v>
      </c>
      <c r="CJ38" t="e">
        <f t="shared" si="46"/>
        <v>#N/A</v>
      </c>
      <c r="CK38" t="e">
        <f t="shared" si="46"/>
        <v>#N/A</v>
      </c>
      <c r="CL38" t="e">
        <f t="shared" si="46"/>
        <v>#N/A</v>
      </c>
      <c r="CM38" t="e">
        <f t="shared" si="46"/>
        <v>#N/A</v>
      </c>
    </row>
    <row r="39" spans="1:91">
      <c r="B39" s="6">
        <f>入力欄!G13</f>
        <v>0</v>
      </c>
      <c r="D39" t="e">
        <f t="shared" si="38"/>
        <v>#N/A</v>
      </c>
      <c r="E39" t="e">
        <f t="shared" si="38"/>
        <v>#N/A</v>
      </c>
      <c r="F39" t="e">
        <f t="shared" si="38"/>
        <v>#N/A</v>
      </c>
      <c r="G39" t="e">
        <f t="shared" si="38"/>
        <v>#N/A</v>
      </c>
      <c r="H39" t="e">
        <f t="shared" si="38"/>
        <v>#N/A</v>
      </c>
      <c r="I39" t="e">
        <f t="shared" si="38"/>
        <v>#N/A</v>
      </c>
      <c r="J39" t="e">
        <f t="shared" si="38"/>
        <v>#N/A</v>
      </c>
      <c r="K39" t="e">
        <f t="shared" si="38"/>
        <v>#N/A</v>
      </c>
      <c r="L39" t="e">
        <f t="shared" si="38"/>
        <v>#N/A</v>
      </c>
      <c r="M39" t="e">
        <f t="shared" si="38"/>
        <v>#N/A</v>
      </c>
      <c r="N39" t="e">
        <f t="shared" si="39"/>
        <v>#N/A</v>
      </c>
      <c r="O39" t="e">
        <f t="shared" si="39"/>
        <v>#N/A</v>
      </c>
      <c r="P39" t="e">
        <f t="shared" si="39"/>
        <v>#N/A</v>
      </c>
      <c r="Q39" t="e">
        <f t="shared" si="39"/>
        <v>#N/A</v>
      </c>
      <c r="R39" t="e">
        <f t="shared" si="39"/>
        <v>#N/A</v>
      </c>
      <c r="S39" t="e">
        <f t="shared" si="39"/>
        <v>#N/A</v>
      </c>
      <c r="T39" t="e">
        <f t="shared" si="39"/>
        <v>#N/A</v>
      </c>
      <c r="U39" t="e">
        <f t="shared" si="39"/>
        <v>#N/A</v>
      </c>
      <c r="V39" t="e">
        <f t="shared" si="39"/>
        <v>#N/A</v>
      </c>
      <c r="W39" t="e">
        <f t="shared" si="39"/>
        <v>#N/A</v>
      </c>
      <c r="X39" t="e">
        <f t="shared" si="40"/>
        <v>#N/A</v>
      </c>
      <c r="Y39" t="e">
        <f t="shared" si="40"/>
        <v>#N/A</v>
      </c>
      <c r="Z39" t="e">
        <f t="shared" si="40"/>
        <v>#N/A</v>
      </c>
      <c r="AA39" t="e">
        <f t="shared" si="40"/>
        <v>#N/A</v>
      </c>
      <c r="AB39" t="e">
        <f t="shared" si="40"/>
        <v>#N/A</v>
      </c>
      <c r="AC39" t="e">
        <f t="shared" si="40"/>
        <v>#N/A</v>
      </c>
      <c r="AD39" t="e">
        <f t="shared" si="40"/>
        <v>#N/A</v>
      </c>
      <c r="AE39" t="e">
        <f t="shared" si="40"/>
        <v>#N/A</v>
      </c>
      <c r="AF39" t="e">
        <f t="shared" si="40"/>
        <v>#N/A</v>
      </c>
      <c r="AG39" t="e">
        <f t="shared" si="40"/>
        <v>#N/A</v>
      </c>
      <c r="AH39" t="e">
        <f t="shared" si="41"/>
        <v>#N/A</v>
      </c>
      <c r="AI39" t="e">
        <f t="shared" si="41"/>
        <v>#N/A</v>
      </c>
      <c r="AJ39" t="e">
        <f t="shared" si="41"/>
        <v>#N/A</v>
      </c>
      <c r="AK39" t="e">
        <f t="shared" si="41"/>
        <v>#N/A</v>
      </c>
      <c r="AL39" t="e">
        <f t="shared" si="41"/>
        <v>#N/A</v>
      </c>
      <c r="AM39" t="e">
        <f t="shared" si="41"/>
        <v>#N/A</v>
      </c>
      <c r="AN39" t="e">
        <f t="shared" si="41"/>
        <v>#N/A</v>
      </c>
      <c r="AO39" t="e">
        <f t="shared" si="41"/>
        <v>#N/A</v>
      </c>
      <c r="AP39" t="e">
        <f t="shared" si="41"/>
        <v>#N/A</v>
      </c>
      <c r="AQ39" t="e">
        <f t="shared" si="41"/>
        <v>#N/A</v>
      </c>
      <c r="AR39" t="e">
        <f t="shared" si="42"/>
        <v>#N/A</v>
      </c>
      <c r="AS39" t="e">
        <f t="shared" si="42"/>
        <v>#N/A</v>
      </c>
      <c r="AT39" t="e">
        <f t="shared" si="42"/>
        <v>#N/A</v>
      </c>
      <c r="AU39" t="e">
        <f t="shared" si="42"/>
        <v>#N/A</v>
      </c>
      <c r="AV39" t="e">
        <f t="shared" si="42"/>
        <v>#N/A</v>
      </c>
      <c r="AW39" t="e">
        <f t="shared" si="42"/>
        <v>#N/A</v>
      </c>
      <c r="AX39" t="e">
        <f t="shared" si="42"/>
        <v>#N/A</v>
      </c>
      <c r="AY39" t="e">
        <f t="shared" si="42"/>
        <v>#N/A</v>
      </c>
      <c r="AZ39" t="e">
        <f t="shared" si="42"/>
        <v>#N/A</v>
      </c>
      <c r="BA39" t="e">
        <f t="shared" si="42"/>
        <v>#N/A</v>
      </c>
      <c r="BB39" t="e">
        <f t="shared" si="43"/>
        <v>#N/A</v>
      </c>
      <c r="BC39" t="e">
        <f t="shared" si="43"/>
        <v>#N/A</v>
      </c>
      <c r="BD39" t="e">
        <f t="shared" si="43"/>
        <v>#N/A</v>
      </c>
      <c r="BE39" t="e">
        <f t="shared" si="43"/>
        <v>#N/A</v>
      </c>
      <c r="BF39" t="e">
        <f t="shared" si="43"/>
        <v>#N/A</v>
      </c>
      <c r="BG39" t="e">
        <f t="shared" si="43"/>
        <v>#N/A</v>
      </c>
      <c r="BH39" t="e">
        <f t="shared" si="43"/>
        <v>#N/A</v>
      </c>
      <c r="BI39" t="e">
        <f t="shared" si="43"/>
        <v>#N/A</v>
      </c>
      <c r="BJ39" t="e">
        <f t="shared" si="43"/>
        <v>#N/A</v>
      </c>
      <c r="BK39" t="e">
        <f t="shared" si="43"/>
        <v>#N/A</v>
      </c>
      <c r="BL39" t="e">
        <f t="shared" si="44"/>
        <v>#N/A</v>
      </c>
      <c r="BM39" t="e">
        <f t="shared" si="44"/>
        <v>#N/A</v>
      </c>
      <c r="BN39" t="e">
        <f t="shared" si="44"/>
        <v>#N/A</v>
      </c>
      <c r="BO39" t="e">
        <f t="shared" si="44"/>
        <v>#N/A</v>
      </c>
      <c r="BP39" t="e">
        <f t="shared" si="44"/>
        <v>#N/A</v>
      </c>
      <c r="BQ39" t="e">
        <f t="shared" si="44"/>
        <v>#N/A</v>
      </c>
      <c r="BR39" t="e">
        <f t="shared" si="44"/>
        <v>#N/A</v>
      </c>
      <c r="BS39" t="e">
        <f t="shared" si="44"/>
        <v>#N/A</v>
      </c>
      <c r="BT39" t="e">
        <f t="shared" si="44"/>
        <v>#N/A</v>
      </c>
      <c r="BU39" t="e">
        <f t="shared" si="44"/>
        <v>#N/A</v>
      </c>
      <c r="BV39" t="e">
        <f t="shared" si="45"/>
        <v>#N/A</v>
      </c>
      <c r="BW39" t="e">
        <f t="shared" si="45"/>
        <v>#N/A</v>
      </c>
      <c r="BX39" t="e">
        <f t="shared" si="45"/>
        <v>#N/A</v>
      </c>
      <c r="BY39" t="e">
        <f t="shared" si="45"/>
        <v>#N/A</v>
      </c>
      <c r="BZ39" t="e">
        <f t="shared" si="45"/>
        <v>#N/A</v>
      </c>
      <c r="CA39" t="e">
        <f t="shared" si="45"/>
        <v>#N/A</v>
      </c>
      <c r="CB39" t="e">
        <f t="shared" si="45"/>
        <v>#N/A</v>
      </c>
      <c r="CC39" t="e">
        <f t="shared" si="45"/>
        <v>#N/A</v>
      </c>
      <c r="CD39" t="e">
        <f t="shared" si="45"/>
        <v>#N/A</v>
      </c>
      <c r="CE39" t="e">
        <f t="shared" si="45"/>
        <v>#N/A</v>
      </c>
      <c r="CF39" t="e">
        <f t="shared" si="45"/>
        <v>#N/A</v>
      </c>
      <c r="CG39" t="e">
        <f t="shared" si="45"/>
        <v>#N/A</v>
      </c>
      <c r="CH39" t="e">
        <f t="shared" si="45"/>
        <v>#N/A</v>
      </c>
      <c r="CI39" t="e">
        <f t="shared" si="46"/>
        <v>#N/A</v>
      </c>
      <c r="CJ39" t="e">
        <f t="shared" si="46"/>
        <v>#N/A</v>
      </c>
      <c r="CK39" t="e">
        <f t="shared" si="46"/>
        <v>#N/A</v>
      </c>
      <c r="CL39" t="e">
        <f t="shared" si="46"/>
        <v>#N/A</v>
      </c>
      <c r="CM39" t="e">
        <f t="shared" si="46"/>
        <v>#N/A</v>
      </c>
    </row>
    <row r="42" spans="1:91">
      <c r="A42" t="s">
        <v>348</v>
      </c>
      <c r="B42">
        <f t="shared" ref="B42:B51" si="47">B30</f>
        <v>0</v>
      </c>
      <c r="D42" s="6">
        <f>入力欄!H4</f>
        <v>0</v>
      </c>
      <c r="E42" s="2">
        <f t="shared" ref="E42:AJ42" si="48">IF(OR(ISNA(E30),$D42=0),0,E30*$D42/$D30)</f>
        <v>0</v>
      </c>
      <c r="F42" s="2">
        <f t="shared" si="48"/>
        <v>0</v>
      </c>
      <c r="G42" s="2">
        <f t="shared" si="48"/>
        <v>0</v>
      </c>
      <c r="H42" s="2">
        <f t="shared" si="48"/>
        <v>0</v>
      </c>
      <c r="I42" s="2">
        <f t="shared" si="48"/>
        <v>0</v>
      </c>
      <c r="J42" s="2">
        <f t="shared" si="48"/>
        <v>0</v>
      </c>
      <c r="K42" s="2">
        <f t="shared" si="48"/>
        <v>0</v>
      </c>
      <c r="L42" s="2">
        <f t="shared" si="48"/>
        <v>0</v>
      </c>
      <c r="M42" s="2">
        <f t="shared" si="48"/>
        <v>0</v>
      </c>
      <c r="N42" s="2">
        <f t="shared" si="48"/>
        <v>0</v>
      </c>
      <c r="O42" s="2">
        <f t="shared" si="48"/>
        <v>0</v>
      </c>
      <c r="P42" s="2">
        <f t="shared" si="48"/>
        <v>0</v>
      </c>
      <c r="Q42" s="2">
        <f t="shared" si="48"/>
        <v>0</v>
      </c>
      <c r="R42" s="2">
        <f t="shared" si="48"/>
        <v>0</v>
      </c>
      <c r="S42" s="2">
        <f t="shared" si="48"/>
        <v>0</v>
      </c>
      <c r="T42" s="2">
        <f t="shared" si="48"/>
        <v>0</v>
      </c>
      <c r="U42" s="2">
        <f t="shared" si="48"/>
        <v>0</v>
      </c>
      <c r="V42" s="2">
        <f t="shared" si="48"/>
        <v>0</v>
      </c>
      <c r="W42" s="2">
        <f t="shared" si="48"/>
        <v>0</v>
      </c>
      <c r="X42" s="2">
        <f t="shared" si="48"/>
        <v>0</v>
      </c>
      <c r="Y42" s="2">
        <f t="shared" si="48"/>
        <v>0</v>
      </c>
      <c r="Z42" s="2">
        <f t="shared" si="48"/>
        <v>0</v>
      </c>
      <c r="AA42" s="2">
        <f t="shared" si="48"/>
        <v>0</v>
      </c>
      <c r="AB42" s="2">
        <f t="shared" si="48"/>
        <v>0</v>
      </c>
      <c r="AC42" s="2">
        <f t="shared" si="48"/>
        <v>0</v>
      </c>
      <c r="AD42" s="2">
        <f t="shared" si="48"/>
        <v>0</v>
      </c>
      <c r="AE42" s="2">
        <f t="shared" si="48"/>
        <v>0</v>
      </c>
      <c r="AF42" s="2">
        <f t="shared" si="48"/>
        <v>0</v>
      </c>
      <c r="AG42" s="2">
        <f t="shared" si="48"/>
        <v>0</v>
      </c>
      <c r="AH42" s="2">
        <f t="shared" si="48"/>
        <v>0</v>
      </c>
      <c r="AI42" s="2">
        <f t="shared" si="48"/>
        <v>0</v>
      </c>
      <c r="AJ42" s="2">
        <f t="shared" si="48"/>
        <v>0</v>
      </c>
      <c r="AK42" s="2">
        <f t="shared" ref="AK42:BP42" si="49">IF(OR(ISNA(AK30),$D42=0),0,AK30*$D42/$D30)</f>
        <v>0</v>
      </c>
      <c r="AL42" s="2">
        <f t="shared" si="49"/>
        <v>0</v>
      </c>
      <c r="AM42" s="2">
        <f t="shared" si="49"/>
        <v>0</v>
      </c>
      <c r="AN42" s="2">
        <f t="shared" si="49"/>
        <v>0</v>
      </c>
      <c r="AO42" s="2">
        <f t="shared" si="49"/>
        <v>0</v>
      </c>
      <c r="AP42" s="2">
        <f t="shared" si="49"/>
        <v>0</v>
      </c>
      <c r="AQ42" s="2">
        <f t="shared" si="49"/>
        <v>0</v>
      </c>
      <c r="AR42" s="2">
        <f t="shared" si="49"/>
        <v>0</v>
      </c>
      <c r="AS42" s="2">
        <f t="shared" si="49"/>
        <v>0</v>
      </c>
      <c r="AT42" s="2">
        <f t="shared" si="49"/>
        <v>0</v>
      </c>
      <c r="AU42" s="2">
        <f t="shared" si="49"/>
        <v>0</v>
      </c>
      <c r="AV42" s="2">
        <f t="shared" si="49"/>
        <v>0</v>
      </c>
      <c r="AW42" s="2">
        <f t="shared" si="49"/>
        <v>0</v>
      </c>
      <c r="AX42" s="2">
        <f t="shared" si="49"/>
        <v>0</v>
      </c>
      <c r="AY42" s="2">
        <f t="shared" si="49"/>
        <v>0</v>
      </c>
      <c r="AZ42" s="2">
        <f t="shared" si="49"/>
        <v>0</v>
      </c>
      <c r="BA42" s="2">
        <f t="shared" si="49"/>
        <v>0</v>
      </c>
      <c r="BB42" s="2">
        <f t="shared" si="49"/>
        <v>0</v>
      </c>
      <c r="BC42" s="2">
        <f t="shared" si="49"/>
        <v>0</v>
      </c>
      <c r="BD42" s="2">
        <f t="shared" si="49"/>
        <v>0</v>
      </c>
      <c r="BE42" s="2">
        <f t="shared" si="49"/>
        <v>0</v>
      </c>
      <c r="BF42" s="2">
        <f t="shared" si="49"/>
        <v>0</v>
      </c>
      <c r="BG42" s="2">
        <f t="shared" si="49"/>
        <v>0</v>
      </c>
      <c r="BH42" s="2">
        <f t="shared" si="49"/>
        <v>0</v>
      </c>
      <c r="BI42" s="2">
        <f t="shared" si="49"/>
        <v>0</v>
      </c>
      <c r="BJ42" s="2">
        <f t="shared" si="49"/>
        <v>0</v>
      </c>
      <c r="BK42" s="2">
        <f t="shared" si="49"/>
        <v>0</v>
      </c>
      <c r="BL42" s="2">
        <f t="shared" si="49"/>
        <v>0</v>
      </c>
      <c r="BM42" s="2">
        <f t="shared" si="49"/>
        <v>0</v>
      </c>
      <c r="BN42" s="2">
        <f t="shared" si="49"/>
        <v>0</v>
      </c>
      <c r="BO42" s="2">
        <f t="shared" si="49"/>
        <v>0</v>
      </c>
      <c r="BP42" s="2">
        <f t="shared" si="49"/>
        <v>0</v>
      </c>
      <c r="BQ42" s="2">
        <f t="shared" ref="BQ42:CM42" si="50">IF(OR(ISNA(BQ30),$D42=0),0,BQ30*$D42/$D30)</f>
        <v>0</v>
      </c>
      <c r="BR42" s="2">
        <f t="shared" si="50"/>
        <v>0</v>
      </c>
      <c r="BS42" s="2">
        <f t="shared" si="50"/>
        <v>0</v>
      </c>
      <c r="BT42" s="2">
        <f t="shared" si="50"/>
        <v>0</v>
      </c>
      <c r="BU42" s="2">
        <f t="shared" si="50"/>
        <v>0</v>
      </c>
      <c r="BV42" s="2">
        <f t="shared" si="50"/>
        <v>0</v>
      </c>
      <c r="BW42" s="2">
        <f t="shared" si="50"/>
        <v>0</v>
      </c>
      <c r="BX42" s="2">
        <f t="shared" si="50"/>
        <v>0</v>
      </c>
      <c r="BY42" s="2">
        <f t="shared" si="50"/>
        <v>0</v>
      </c>
      <c r="BZ42" s="2">
        <f t="shared" si="50"/>
        <v>0</v>
      </c>
      <c r="CA42" s="2">
        <f t="shared" si="50"/>
        <v>0</v>
      </c>
      <c r="CB42" s="2">
        <f t="shared" si="50"/>
        <v>0</v>
      </c>
      <c r="CC42" s="2">
        <f t="shared" si="50"/>
        <v>0</v>
      </c>
      <c r="CD42" s="2">
        <f t="shared" si="50"/>
        <v>0</v>
      </c>
      <c r="CE42" s="2">
        <f t="shared" si="50"/>
        <v>0</v>
      </c>
      <c r="CF42" s="2">
        <f t="shared" si="50"/>
        <v>0</v>
      </c>
      <c r="CG42" s="2">
        <f t="shared" si="50"/>
        <v>0</v>
      </c>
      <c r="CH42" s="2">
        <f t="shared" si="50"/>
        <v>0</v>
      </c>
      <c r="CI42" s="2">
        <f t="shared" si="50"/>
        <v>0</v>
      </c>
      <c r="CJ42" s="2">
        <f t="shared" si="50"/>
        <v>0</v>
      </c>
      <c r="CK42" s="2">
        <f t="shared" si="50"/>
        <v>0</v>
      </c>
      <c r="CL42" s="2">
        <f t="shared" si="50"/>
        <v>0</v>
      </c>
      <c r="CM42" s="2">
        <f t="shared" si="50"/>
        <v>0</v>
      </c>
    </row>
    <row r="43" spans="1:91">
      <c r="A43" t="s">
        <v>343</v>
      </c>
      <c r="B43">
        <f t="shared" si="47"/>
        <v>0</v>
      </c>
      <c r="D43" s="6">
        <f>入力欄!H5</f>
        <v>0</v>
      </c>
      <c r="E43" s="2">
        <f t="shared" ref="E43:AJ43" si="51">IF(OR(ISNA(E31),$D43=0),0,E31*$D43/$D31)</f>
        <v>0</v>
      </c>
      <c r="F43" s="2">
        <f t="shared" si="51"/>
        <v>0</v>
      </c>
      <c r="G43" s="2">
        <f t="shared" si="51"/>
        <v>0</v>
      </c>
      <c r="H43" s="2">
        <f t="shared" si="51"/>
        <v>0</v>
      </c>
      <c r="I43" s="2">
        <f t="shared" si="51"/>
        <v>0</v>
      </c>
      <c r="J43" s="2">
        <f t="shared" si="51"/>
        <v>0</v>
      </c>
      <c r="K43" s="2">
        <f t="shared" si="51"/>
        <v>0</v>
      </c>
      <c r="L43" s="2">
        <f t="shared" si="51"/>
        <v>0</v>
      </c>
      <c r="M43" s="2">
        <f t="shared" si="51"/>
        <v>0</v>
      </c>
      <c r="N43" s="2">
        <f t="shared" si="51"/>
        <v>0</v>
      </c>
      <c r="O43" s="2">
        <f t="shared" si="51"/>
        <v>0</v>
      </c>
      <c r="P43" s="2">
        <f t="shared" si="51"/>
        <v>0</v>
      </c>
      <c r="Q43" s="2">
        <f t="shared" si="51"/>
        <v>0</v>
      </c>
      <c r="R43" s="2">
        <f t="shared" si="51"/>
        <v>0</v>
      </c>
      <c r="S43" s="2">
        <f t="shared" si="51"/>
        <v>0</v>
      </c>
      <c r="T43" s="2">
        <f t="shared" si="51"/>
        <v>0</v>
      </c>
      <c r="U43" s="2">
        <f t="shared" si="51"/>
        <v>0</v>
      </c>
      <c r="V43" s="2">
        <f t="shared" si="51"/>
        <v>0</v>
      </c>
      <c r="W43" s="2">
        <f t="shared" si="51"/>
        <v>0</v>
      </c>
      <c r="X43" s="2">
        <f t="shared" si="51"/>
        <v>0</v>
      </c>
      <c r="Y43" s="2">
        <f t="shared" si="51"/>
        <v>0</v>
      </c>
      <c r="Z43" s="2">
        <f t="shared" si="51"/>
        <v>0</v>
      </c>
      <c r="AA43" s="2">
        <f t="shared" si="51"/>
        <v>0</v>
      </c>
      <c r="AB43" s="2">
        <f t="shared" si="51"/>
        <v>0</v>
      </c>
      <c r="AC43" s="2">
        <f t="shared" si="51"/>
        <v>0</v>
      </c>
      <c r="AD43" s="2">
        <f t="shared" si="51"/>
        <v>0</v>
      </c>
      <c r="AE43" s="2">
        <f t="shared" si="51"/>
        <v>0</v>
      </c>
      <c r="AF43" s="2">
        <f t="shared" si="51"/>
        <v>0</v>
      </c>
      <c r="AG43" s="2">
        <f t="shared" si="51"/>
        <v>0</v>
      </c>
      <c r="AH43" s="2">
        <f t="shared" si="51"/>
        <v>0</v>
      </c>
      <c r="AI43" s="2">
        <f t="shared" si="51"/>
        <v>0</v>
      </c>
      <c r="AJ43" s="2">
        <f t="shared" si="51"/>
        <v>0</v>
      </c>
      <c r="AK43" s="2">
        <f t="shared" ref="AK43:BP43" si="52">IF(OR(ISNA(AK31),$D43=0),0,AK31*$D43/$D31)</f>
        <v>0</v>
      </c>
      <c r="AL43" s="2">
        <f t="shared" si="52"/>
        <v>0</v>
      </c>
      <c r="AM43" s="2">
        <f t="shared" si="52"/>
        <v>0</v>
      </c>
      <c r="AN43" s="2">
        <f t="shared" si="52"/>
        <v>0</v>
      </c>
      <c r="AO43" s="2">
        <f t="shared" si="52"/>
        <v>0</v>
      </c>
      <c r="AP43" s="2">
        <f t="shared" si="52"/>
        <v>0</v>
      </c>
      <c r="AQ43" s="2">
        <f t="shared" si="52"/>
        <v>0</v>
      </c>
      <c r="AR43" s="2">
        <f t="shared" si="52"/>
        <v>0</v>
      </c>
      <c r="AS43" s="2">
        <f t="shared" si="52"/>
        <v>0</v>
      </c>
      <c r="AT43" s="2">
        <f t="shared" si="52"/>
        <v>0</v>
      </c>
      <c r="AU43" s="2">
        <f t="shared" si="52"/>
        <v>0</v>
      </c>
      <c r="AV43" s="2">
        <f t="shared" si="52"/>
        <v>0</v>
      </c>
      <c r="AW43" s="2">
        <f t="shared" si="52"/>
        <v>0</v>
      </c>
      <c r="AX43" s="2">
        <f t="shared" si="52"/>
        <v>0</v>
      </c>
      <c r="AY43" s="2">
        <f t="shared" si="52"/>
        <v>0</v>
      </c>
      <c r="AZ43" s="2">
        <f t="shared" si="52"/>
        <v>0</v>
      </c>
      <c r="BA43" s="2">
        <f t="shared" si="52"/>
        <v>0</v>
      </c>
      <c r="BB43" s="2">
        <f t="shared" si="52"/>
        <v>0</v>
      </c>
      <c r="BC43" s="2">
        <f t="shared" si="52"/>
        <v>0</v>
      </c>
      <c r="BD43" s="2">
        <f t="shared" si="52"/>
        <v>0</v>
      </c>
      <c r="BE43" s="2">
        <f t="shared" si="52"/>
        <v>0</v>
      </c>
      <c r="BF43" s="2">
        <f t="shared" si="52"/>
        <v>0</v>
      </c>
      <c r="BG43" s="2">
        <f t="shared" si="52"/>
        <v>0</v>
      </c>
      <c r="BH43" s="2">
        <f t="shared" si="52"/>
        <v>0</v>
      </c>
      <c r="BI43" s="2">
        <f t="shared" si="52"/>
        <v>0</v>
      </c>
      <c r="BJ43" s="2">
        <f t="shared" si="52"/>
        <v>0</v>
      </c>
      <c r="BK43" s="2">
        <f t="shared" si="52"/>
        <v>0</v>
      </c>
      <c r="BL43" s="2">
        <f t="shared" si="52"/>
        <v>0</v>
      </c>
      <c r="BM43" s="2">
        <f t="shared" si="52"/>
        <v>0</v>
      </c>
      <c r="BN43" s="2">
        <f t="shared" si="52"/>
        <v>0</v>
      </c>
      <c r="BO43" s="2">
        <f t="shared" si="52"/>
        <v>0</v>
      </c>
      <c r="BP43" s="2">
        <f t="shared" si="52"/>
        <v>0</v>
      </c>
      <c r="BQ43" s="2">
        <f t="shared" ref="BQ43:CM43" si="53">IF(OR(ISNA(BQ31),$D43=0),0,BQ31*$D43/$D31)</f>
        <v>0</v>
      </c>
      <c r="BR43" s="2">
        <f t="shared" si="53"/>
        <v>0</v>
      </c>
      <c r="BS43" s="2">
        <f t="shared" si="53"/>
        <v>0</v>
      </c>
      <c r="BT43" s="2">
        <f t="shared" si="53"/>
        <v>0</v>
      </c>
      <c r="BU43" s="2">
        <f t="shared" si="53"/>
        <v>0</v>
      </c>
      <c r="BV43" s="2">
        <f t="shared" si="53"/>
        <v>0</v>
      </c>
      <c r="BW43" s="2">
        <f t="shared" si="53"/>
        <v>0</v>
      </c>
      <c r="BX43" s="2">
        <f t="shared" si="53"/>
        <v>0</v>
      </c>
      <c r="BY43" s="2">
        <f t="shared" si="53"/>
        <v>0</v>
      </c>
      <c r="BZ43" s="2">
        <f t="shared" si="53"/>
        <v>0</v>
      </c>
      <c r="CA43" s="2">
        <f t="shared" si="53"/>
        <v>0</v>
      </c>
      <c r="CB43" s="2">
        <f t="shared" si="53"/>
        <v>0</v>
      </c>
      <c r="CC43" s="2">
        <f t="shared" si="53"/>
        <v>0</v>
      </c>
      <c r="CD43" s="2">
        <f t="shared" si="53"/>
        <v>0</v>
      </c>
      <c r="CE43" s="2">
        <f t="shared" si="53"/>
        <v>0</v>
      </c>
      <c r="CF43" s="2">
        <f t="shared" si="53"/>
        <v>0</v>
      </c>
      <c r="CG43" s="2">
        <f t="shared" si="53"/>
        <v>0</v>
      </c>
      <c r="CH43" s="2">
        <f t="shared" si="53"/>
        <v>0</v>
      </c>
      <c r="CI43" s="2">
        <f t="shared" si="53"/>
        <v>0</v>
      </c>
      <c r="CJ43" s="2">
        <f t="shared" si="53"/>
        <v>0</v>
      </c>
      <c r="CK43" s="2">
        <f t="shared" si="53"/>
        <v>0</v>
      </c>
      <c r="CL43" s="2">
        <f t="shared" si="53"/>
        <v>0</v>
      </c>
      <c r="CM43" s="2">
        <f t="shared" si="53"/>
        <v>0</v>
      </c>
    </row>
    <row r="44" spans="1:91">
      <c r="B44">
        <f t="shared" si="47"/>
        <v>0</v>
      </c>
      <c r="D44" s="6">
        <f>入力欄!H6</f>
        <v>0</v>
      </c>
      <c r="E44" s="2">
        <f t="shared" ref="E44:AJ44" si="54">IF(OR(ISNA(E32),$D44=0),0,E32*$D44/$D32)</f>
        <v>0</v>
      </c>
      <c r="F44" s="2">
        <f t="shared" si="54"/>
        <v>0</v>
      </c>
      <c r="G44" s="2">
        <f t="shared" si="54"/>
        <v>0</v>
      </c>
      <c r="H44" s="2">
        <f t="shared" si="54"/>
        <v>0</v>
      </c>
      <c r="I44" s="2">
        <f t="shared" si="54"/>
        <v>0</v>
      </c>
      <c r="J44" s="2">
        <f t="shared" si="54"/>
        <v>0</v>
      </c>
      <c r="K44" s="2">
        <f t="shared" si="54"/>
        <v>0</v>
      </c>
      <c r="L44" s="2">
        <f t="shared" si="54"/>
        <v>0</v>
      </c>
      <c r="M44" s="2">
        <f t="shared" si="54"/>
        <v>0</v>
      </c>
      <c r="N44" s="2">
        <f t="shared" si="54"/>
        <v>0</v>
      </c>
      <c r="O44" s="2">
        <f t="shared" si="54"/>
        <v>0</v>
      </c>
      <c r="P44" s="2">
        <f t="shared" si="54"/>
        <v>0</v>
      </c>
      <c r="Q44" s="2">
        <f t="shared" si="54"/>
        <v>0</v>
      </c>
      <c r="R44" s="2">
        <f t="shared" si="54"/>
        <v>0</v>
      </c>
      <c r="S44" s="2">
        <f t="shared" si="54"/>
        <v>0</v>
      </c>
      <c r="T44" s="2">
        <f t="shared" si="54"/>
        <v>0</v>
      </c>
      <c r="U44" s="2">
        <f t="shared" si="54"/>
        <v>0</v>
      </c>
      <c r="V44" s="2">
        <f t="shared" si="54"/>
        <v>0</v>
      </c>
      <c r="W44" s="2">
        <f t="shared" si="54"/>
        <v>0</v>
      </c>
      <c r="X44" s="2">
        <f t="shared" si="54"/>
        <v>0</v>
      </c>
      <c r="Y44" s="2">
        <f t="shared" si="54"/>
        <v>0</v>
      </c>
      <c r="Z44" s="2">
        <f t="shared" si="54"/>
        <v>0</v>
      </c>
      <c r="AA44" s="2">
        <f t="shared" si="54"/>
        <v>0</v>
      </c>
      <c r="AB44" s="2">
        <f t="shared" si="54"/>
        <v>0</v>
      </c>
      <c r="AC44" s="2">
        <f t="shared" si="54"/>
        <v>0</v>
      </c>
      <c r="AD44" s="2">
        <f t="shared" si="54"/>
        <v>0</v>
      </c>
      <c r="AE44" s="2">
        <f t="shared" si="54"/>
        <v>0</v>
      </c>
      <c r="AF44" s="2">
        <f t="shared" si="54"/>
        <v>0</v>
      </c>
      <c r="AG44" s="2">
        <f t="shared" si="54"/>
        <v>0</v>
      </c>
      <c r="AH44" s="2">
        <f t="shared" si="54"/>
        <v>0</v>
      </c>
      <c r="AI44" s="2">
        <f t="shared" si="54"/>
        <v>0</v>
      </c>
      <c r="AJ44" s="2">
        <f t="shared" si="54"/>
        <v>0</v>
      </c>
      <c r="AK44" s="2">
        <f t="shared" ref="AK44:BP44" si="55">IF(OR(ISNA(AK32),$D44=0),0,AK32*$D44/$D32)</f>
        <v>0</v>
      </c>
      <c r="AL44" s="2">
        <f t="shared" si="55"/>
        <v>0</v>
      </c>
      <c r="AM44" s="2">
        <f t="shared" si="55"/>
        <v>0</v>
      </c>
      <c r="AN44" s="2">
        <f t="shared" si="55"/>
        <v>0</v>
      </c>
      <c r="AO44" s="2">
        <f t="shared" si="55"/>
        <v>0</v>
      </c>
      <c r="AP44" s="2">
        <f t="shared" si="55"/>
        <v>0</v>
      </c>
      <c r="AQ44" s="2">
        <f t="shared" si="55"/>
        <v>0</v>
      </c>
      <c r="AR44" s="2">
        <f t="shared" si="55"/>
        <v>0</v>
      </c>
      <c r="AS44" s="2">
        <f t="shared" si="55"/>
        <v>0</v>
      </c>
      <c r="AT44" s="2">
        <f t="shared" si="55"/>
        <v>0</v>
      </c>
      <c r="AU44" s="2">
        <f t="shared" si="55"/>
        <v>0</v>
      </c>
      <c r="AV44" s="2">
        <f t="shared" si="55"/>
        <v>0</v>
      </c>
      <c r="AW44" s="2">
        <f t="shared" si="55"/>
        <v>0</v>
      </c>
      <c r="AX44" s="2">
        <f t="shared" si="55"/>
        <v>0</v>
      </c>
      <c r="AY44" s="2">
        <f t="shared" si="55"/>
        <v>0</v>
      </c>
      <c r="AZ44" s="2">
        <f t="shared" si="55"/>
        <v>0</v>
      </c>
      <c r="BA44" s="2">
        <f t="shared" si="55"/>
        <v>0</v>
      </c>
      <c r="BB44" s="2">
        <f t="shared" si="55"/>
        <v>0</v>
      </c>
      <c r="BC44" s="2">
        <f t="shared" si="55"/>
        <v>0</v>
      </c>
      <c r="BD44" s="2">
        <f t="shared" si="55"/>
        <v>0</v>
      </c>
      <c r="BE44" s="2">
        <f t="shared" si="55"/>
        <v>0</v>
      </c>
      <c r="BF44" s="2">
        <f t="shared" si="55"/>
        <v>0</v>
      </c>
      <c r="BG44" s="2">
        <f t="shared" si="55"/>
        <v>0</v>
      </c>
      <c r="BH44" s="2">
        <f t="shared" si="55"/>
        <v>0</v>
      </c>
      <c r="BI44" s="2">
        <f t="shared" si="55"/>
        <v>0</v>
      </c>
      <c r="BJ44" s="2">
        <f t="shared" si="55"/>
        <v>0</v>
      </c>
      <c r="BK44" s="2">
        <f t="shared" si="55"/>
        <v>0</v>
      </c>
      <c r="BL44" s="2">
        <f t="shared" si="55"/>
        <v>0</v>
      </c>
      <c r="BM44" s="2">
        <f t="shared" si="55"/>
        <v>0</v>
      </c>
      <c r="BN44" s="2">
        <f t="shared" si="55"/>
        <v>0</v>
      </c>
      <c r="BO44" s="2">
        <f t="shared" si="55"/>
        <v>0</v>
      </c>
      <c r="BP44" s="2">
        <f t="shared" si="55"/>
        <v>0</v>
      </c>
      <c r="BQ44" s="2">
        <f t="shared" ref="BQ44:CM44" si="56">IF(OR(ISNA(BQ32),$D44=0),0,BQ32*$D44/$D32)</f>
        <v>0</v>
      </c>
      <c r="BR44" s="2">
        <f t="shared" si="56"/>
        <v>0</v>
      </c>
      <c r="BS44" s="2">
        <f t="shared" si="56"/>
        <v>0</v>
      </c>
      <c r="BT44" s="2">
        <f t="shared" si="56"/>
        <v>0</v>
      </c>
      <c r="BU44" s="2">
        <f t="shared" si="56"/>
        <v>0</v>
      </c>
      <c r="BV44" s="2">
        <f t="shared" si="56"/>
        <v>0</v>
      </c>
      <c r="BW44" s="2">
        <f t="shared" si="56"/>
        <v>0</v>
      </c>
      <c r="BX44" s="2">
        <f t="shared" si="56"/>
        <v>0</v>
      </c>
      <c r="BY44" s="2">
        <f t="shared" si="56"/>
        <v>0</v>
      </c>
      <c r="BZ44" s="2">
        <f t="shared" si="56"/>
        <v>0</v>
      </c>
      <c r="CA44" s="2">
        <f t="shared" si="56"/>
        <v>0</v>
      </c>
      <c r="CB44" s="2">
        <f t="shared" si="56"/>
        <v>0</v>
      </c>
      <c r="CC44" s="2">
        <f t="shared" si="56"/>
        <v>0</v>
      </c>
      <c r="CD44" s="2">
        <f t="shared" si="56"/>
        <v>0</v>
      </c>
      <c r="CE44" s="2">
        <f t="shared" si="56"/>
        <v>0</v>
      </c>
      <c r="CF44" s="2">
        <f t="shared" si="56"/>
        <v>0</v>
      </c>
      <c r="CG44" s="2">
        <f t="shared" si="56"/>
        <v>0</v>
      </c>
      <c r="CH44" s="2">
        <f t="shared" si="56"/>
        <v>0</v>
      </c>
      <c r="CI44" s="2">
        <f t="shared" si="56"/>
        <v>0</v>
      </c>
      <c r="CJ44" s="2">
        <f t="shared" si="56"/>
        <v>0</v>
      </c>
      <c r="CK44" s="2">
        <f t="shared" si="56"/>
        <v>0</v>
      </c>
      <c r="CL44" s="2">
        <f t="shared" si="56"/>
        <v>0</v>
      </c>
      <c r="CM44" s="2">
        <f t="shared" si="56"/>
        <v>0</v>
      </c>
    </row>
    <row r="45" spans="1:91">
      <c r="B45">
        <f t="shared" si="47"/>
        <v>0</v>
      </c>
      <c r="D45" s="6">
        <f>入力欄!H7</f>
        <v>0</v>
      </c>
      <c r="E45" s="2">
        <f t="shared" ref="E45:AJ45" si="57">IF(OR(ISNA(E33),$D45=0),0,E33*$D45/$D33)</f>
        <v>0</v>
      </c>
      <c r="F45" s="2">
        <f t="shared" si="57"/>
        <v>0</v>
      </c>
      <c r="G45" s="2">
        <f t="shared" si="57"/>
        <v>0</v>
      </c>
      <c r="H45" s="2">
        <f t="shared" si="57"/>
        <v>0</v>
      </c>
      <c r="I45" s="2">
        <f t="shared" si="57"/>
        <v>0</v>
      </c>
      <c r="J45" s="2">
        <f t="shared" si="57"/>
        <v>0</v>
      </c>
      <c r="K45" s="2">
        <f t="shared" si="57"/>
        <v>0</v>
      </c>
      <c r="L45" s="2">
        <f t="shared" si="57"/>
        <v>0</v>
      </c>
      <c r="M45" s="2">
        <f t="shared" si="57"/>
        <v>0</v>
      </c>
      <c r="N45" s="2">
        <f t="shared" si="57"/>
        <v>0</v>
      </c>
      <c r="O45" s="2">
        <f t="shared" si="57"/>
        <v>0</v>
      </c>
      <c r="P45" s="2">
        <f t="shared" si="57"/>
        <v>0</v>
      </c>
      <c r="Q45" s="2">
        <f t="shared" si="57"/>
        <v>0</v>
      </c>
      <c r="R45" s="2">
        <f t="shared" si="57"/>
        <v>0</v>
      </c>
      <c r="S45" s="2">
        <f t="shared" si="57"/>
        <v>0</v>
      </c>
      <c r="T45" s="2">
        <f t="shared" si="57"/>
        <v>0</v>
      </c>
      <c r="U45" s="2">
        <f t="shared" si="57"/>
        <v>0</v>
      </c>
      <c r="V45" s="2">
        <f t="shared" si="57"/>
        <v>0</v>
      </c>
      <c r="W45" s="2">
        <f t="shared" si="57"/>
        <v>0</v>
      </c>
      <c r="X45" s="2">
        <f t="shared" si="57"/>
        <v>0</v>
      </c>
      <c r="Y45" s="2">
        <f t="shared" si="57"/>
        <v>0</v>
      </c>
      <c r="Z45" s="2">
        <f t="shared" si="57"/>
        <v>0</v>
      </c>
      <c r="AA45" s="2">
        <f t="shared" si="57"/>
        <v>0</v>
      </c>
      <c r="AB45" s="2">
        <f t="shared" si="57"/>
        <v>0</v>
      </c>
      <c r="AC45" s="2">
        <f t="shared" si="57"/>
        <v>0</v>
      </c>
      <c r="AD45" s="2">
        <f t="shared" si="57"/>
        <v>0</v>
      </c>
      <c r="AE45" s="2">
        <f t="shared" si="57"/>
        <v>0</v>
      </c>
      <c r="AF45" s="2">
        <f t="shared" si="57"/>
        <v>0</v>
      </c>
      <c r="AG45" s="2">
        <f t="shared" si="57"/>
        <v>0</v>
      </c>
      <c r="AH45" s="2">
        <f t="shared" si="57"/>
        <v>0</v>
      </c>
      <c r="AI45" s="2">
        <f t="shared" si="57"/>
        <v>0</v>
      </c>
      <c r="AJ45" s="2">
        <f t="shared" si="57"/>
        <v>0</v>
      </c>
      <c r="AK45" s="2">
        <f t="shared" ref="AK45:BP45" si="58">IF(OR(ISNA(AK33),$D45=0),0,AK33*$D45/$D33)</f>
        <v>0</v>
      </c>
      <c r="AL45" s="2">
        <f t="shared" si="58"/>
        <v>0</v>
      </c>
      <c r="AM45" s="2">
        <f t="shared" si="58"/>
        <v>0</v>
      </c>
      <c r="AN45" s="2">
        <f t="shared" si="58"/>
        <v>0</v>
      </c>
      <c r="AO45" s="2">
        <f t="shared" si="58"/>
        <v>0</v>
      </c>
      <c r="AP45" s="2">
        <f t="shared" si="58"/>
        <v>0</v>
      </c>
      <c r="AQ45" s="2">
        <f t="shared" si="58"/>
        <v>0</v>
      </c>
      <c r="AR45" s="2">
        <f t="shared" si="58"/>
        <v>0</v>
      </c>
      <c r="AS45" s="2">
        <f t="shared" si="58"/>
        <v>0</v>
      </c>
      <c r="AT45" s="2">
        <f t="shared" si="58"/>
        <v>0</v>
      </c>
      <c r="AU45" s="2">
        <f t="shared" si="58"/>
        <v>0</v>
      </c>
      <c r="AV45" s="2">
        <f t="shared" si="58"/>
        <v>0</v>
      </c>
      <c r="AW45" s="2">
        <f t="shared" si="58"/>
        <v>0</v>
      </c>
      <c r="AX45" s="2">
        <f t="shared" si="58"/>
        <v>0</v>
      </c>
      <c r="AY45" s="2">
        <f t="shared" si="58"/>
        <v>0</v>
      </c>
      <c r="AZ45" s="2">
        <f t="shared" si="58"/>
        <v>0</v>
      </c>
      <c r="BA45" s="2">
        <f t="shared" si="58"/>
        <v>0</v>
      </c>
      <c r="BB45" s="2">
        <f t="shared" si="58"/>
        <v>0</v>
      </c>
      <c r="BC45" s="2">
        <f t="shared" si="58"/>
        <v>0</v>
      </c>
      <c r="BD45" s="2">
        <f t="shared" si="58"/>
        <v>0</v>
      </c>
      <c r="BE45" s="2">
        <f t="shared" si="58"/>
        <v>0</v>
      </c>
      <c r="BF45" s="2">
        <f t="shared" si="58"/>
        <v>0</v>
      </c>
      <c r="BG45" s="2">
        <f t="shared" si="58"/>
        <v>0</v>
      </c>
      <c r="BH45" s="2">
        <f t="shared" si="58"/>
        <v>0</v>
      </c>
      <c r="BI45" s="2">
        <f t="shared" si="58"/>
        <v>0</v>
      </c>
      <c r="BJ45" s="2">
        <f t="shared" si="58"/>
        <v>0</v>
      </c>
      <c r="BK45" s="2">
        <f t="shared" si="58"/>
        <v>0</v>
      </c>
      <c r="BL45" s="2">
        <f t="shared" si="58"/>
        <v>0</v>
      </c>
      <c r="BM45" s="2">
        <f t="shared" si="58"/>
        <v>0</v>
      </c>
      <c r="BN45" s="2">
        <f t="shared" si="58"/>
        <v>0</v>
      </c>
      <c r="BO45" s="2">
        <f t="shared" si="58"/>
        <v>0</v>
      </c>
      <c r="BP45" s="2">
        <f t="shared" si="58"/>
        <v>0</v>
      </c>
      <c r="BQ45" s="2">
        <f t="shared" ref="BQ45:CM45" si="59">IF(OR(ISNA(BQ33),$D45=0),0,BQ33*$D45/$D33)</f>
        <v>0</v>
      </c>
      <c r="BR45" s="2">
        <f t="shared" si="59"/>
        <v>0</v>
      </c>
      <c r="BS45" s="2">
        <f t="shared" si="59"/>
        <v>0</v>
      </c>
      <c r="BT45" s="2">
        <f t="shared" si="59"/>
        <v>0</v>
      </c>
      <c r="BU45" s="2">
        <f t="shared" si="59"/>
        <v>0</v>
      </c>
      <c r="BV45" s="2">
        <f t="shared" si="59"/>
        <v>0</v>
      </c>
      <c r="BW45" s="2">
        <f t="shared" si="59"/>
        <v>0</v>
      </c>
      <c r="BX45" s="2">
        <f t="shared" si="59"/>
        <v>0</v>
      </c>
      <c r="BY45" s="2">
        <f t="shared" si="59"/>
        <v>0</v>
      </c>
      <c r="BZ45" s="2">
        <f t="shared" si="59"/>
        <v>0</v>
      </c>
      <c r="CA45" s="2">
        <f t="shared" si="59"/>
        <v>0</v>
      </c>
      <c r="CB45" s="2">
        <f t="shared" si="59"/>
        <v>0</v>
      </c>
      <c r="CC45" s="2">
        <f t="shared" si="59"/>
        <v>0</v>
      </c>
      <c r="CD45" s="2">
        <f t="shared" si="59"/>
        <v>0</v>
      </c>
      <c r="CE45" s="2">
        <f t="shared" si="59"/>
        <v>0</v>
      </c>
      <c r="CF45" s="2">
        <f t="shared" si="59"/>
        <v>0</v>
      </c>
      <c r="CG45" s="2">
        <f t="shared" si="59"/>
        <v>0</v>
      </c>
      <c r="CH45" s="2">
        <f t="shared" si="59"/>
        <v>0</v>
      </c>
      <c r="CI45" s="2">
        <f t="shared" si="59"/>
        <v>0</v>
      </c>
      <c r="CJ45" s="2">
        <f t="shared" si="59"/>
        <v>0</v>
      </c>
      <c r="CK45" s="2">
        <f t="shared" si="59"/>
        <v>0</v>
      </c>
      <c r="CL45" s="2">
        <f t="shared" si="59"/>
        <v>0</v>
      </c>
      <c r="CM45" s="2">
        <f t="shared" si="59"/>
        <v>0</v>
      </c>
    </row>
    <row r="46" spans="1:91">
      <c r="B46">
        <f t="shared" si="47"/>
        <v>0</v>
      </c>
      <c r="D46" s="6">
        <f>入力欄!H8</f>
        <v>0</v>
      </c>
      <c r="E46" s="2">
        <f t="shared" ref="E46:AJ46" si="60">IF(OR(ISNA(E34),$D46=0),0,E34*$D46/$D34)</f>
        <v>0</v>
      </c>
      <c r="F46" s="2">
        <f t="shared" si="60"/>
        <v>0</v>
      </c>
      <c r="G46" s="2">
        <f t="shared" si="60"/>
        <v>0</v>
      </c>
      <c r="H46" s="2">
        <f t="shared" si="60"/>
        <v>0</v>
      </c>
      <c r="I46" s="2">
        <f t="shared" si="60"/>
        <v>0</v>
      </c>
      <c r="J46" s="2">
        <f t="shared" si="60"/>
        <v>0</v>
      </c>
      <c r="K46" s="2">
        <f t="shared" si="60"/>
        <v>0</v>
      </c>
      <c r="L46" s="2">
        <f t="shared" si="60"/>
        <v>0</v>
      </c>
      <c r="M46" s="2">
        <f t="shared" si="60"/>
        <v>0</v>
      </c>
      <c r="N46" s="2">
        <f t="shared" si="60"/>
        <v>0</v>
      </c>
      <c r="O46" s="2">
        <f t="shared" si="60"/>
        <v>0</v>
      </c>
      <c r="P46" s="2">
        <f t="shared" si="60"/>
        <v>0</v>
      </c>
      <c r="Q46" s="2">
        <f t="shared" si="60"/>
        <v>0</v>
      </c>
      <c r="R46" s="2">
        <f t="shared" si="60"/>
        <v>0</v>
      </c>
      <c r="S46" s="2">
        <f t="shared" si="60"/>
        <v>0</v>
      </c>
      <c r="T46" s="2">
        <f t="shared" si="60"/>
        <v>0</v>
      </c>
      <c r="U46" s="2">
        <f t="shared" si="60"/>
        <v>0</v>
      </c>
      <c r="V46" s="2">
        <f t="shared" si="60"/>
        <v>0</v>
      </c>
      <c r="W46" s="2">
        <f t="shared" si="60"/>
        <v>0</v>
      </c>
      <c r="X46" s="2">
        <f t="shared" si="60"/>
        <v>0</v>
      </c>
      <c r="Y46" s="2">
        <f t="shared" si="60"/>
        <v>0</v>
      </c>
      <c r="Z46" s="2">
        <f t="shared" si="60"/>
        <v>0</v>
      </c>
      <c r="AA46" s="2">
        <f t="shared" si="60"/>
        <v>0</v>
      </c>
      <c r="AB46" s="2">
        <f t="shared" si="60"/>
        <v>0</v>
      </c>
      <c r="AC46" s="2">
        <f t="shared" si="60"/>
        <v>0</v>
      </c>
      <c r="AD46" s="2">
        <f t="shared" si="60"/>
        <v>0</v>
      </c>
      <c r="AE46" s="2">
        <f t="shared" si="60"/>
        <v>0</v>
      </c>
      <c r="AF46" s="2">
        <f t="shared" si="60"/>
        <v>0</v>
      </c>
      <c r="AG46" s="2">
        <f t="shared" si="60"/>
        <v>0</v>
      </c>
      <c r="AH46" s="2">
        <f t="shared" si="60"/>
        <v>0</v>
      </c>
      <c r="AI46" s="2">
        <f t="shared" si="60"/>
        <v>0</v>
      </c>
      <c r="AJ46" s="2">
        <f t="shared" si="60"/>
        <v>0</v>
      </c>
      <c r="AK46" s="2">
        <f t="shared" ref="AK46:BP46" si="61">IF(OR(ISNA(AK34),$D46=0),0,AK34*$D46/$D34)</f>
        <v>0</v>
      </c>
      <c r="AL46" s="2">
        <f t="shared" si="61"/>
        <v>0</v>
      </c>
      <c r="AM46" s="2">
        <f t="shared" si="61"/>
        <v>0</v>
      </c>
      <c r="AN46" s="2">
        <f t="shared" si="61"/>
        <v>0</v>
      </c>
      <c r="AO46" s="2">
        <f t="shared" si="61"/>
        <v>0</v>
      </c>
      <c r="AP46" s="2">
        <f t="shared" si="61"/>
        <v>0</v>
      </c>
      <c r="AQ46" s="2">
        <f t="shared" si="61"/>
        <v>0</v>
      </c>
      <c r="AR46" s="2">
        <f t="shared" si="61"/>
        <v>0</v>
      </c>
      <c r="AS46" s="2">
        <f t="shared" si="61"/>
        <v>0</v>
      </c>
      <c r="AT46" s="2">
        <f t="shared" si="61"/>
        <v>0</v>
      </c>
      <c r="AU46" s="2">
        <f t="shared" si="61"/>
        <v>0</v>
      </c>
      <c r="AV46" s="2">
        <f t="shared" si="61"/>
        <v>0</v>
      </c>
      <c r="AW46" s="2">
        <f t="shared" si="61"/>
        <v>0</v>
      </c>
      <c r="AX46" s="2">
        <f t="shared" si="61"/>
        <v>0</v>
      </c>
      <c r="AY46" s="2">
        <f t="shared" si="61"/>
        <v>0</v>
      </c>
      <c r="AZ46" s="2">
        <f t="shared" si="61"/>
        <v>0</v>
      </c>
      <c r="BA46" s="2">
        <f t="shared" si="61"/>
        <v>0</v>
      </c>
      <c r="BB46" s="2">
        <f t="shared" si="61"/>
        <v>0</v>
      </c>
      <c r="BC46" s="2">
        <f t="shared" si="61"/>
        <v>0</v>
      </c>
      <c r="BD46" s="2">
        <f t="shared" si="61"/>
        <v>0</v>
      </c>
      <c r="BE46" s="2">
        <f t="shared" si="61"/>
        <v>0</v>
      </c>
      <c r="BF46" s="2">
        <f t="shared" si="61"/>
        <v>0</v>
      </c>
      <c r="BG46" s="2">
        <f t="shared" si="61"/>
        <v>0</v>
      </c>
      <c r="BH46" s="2">
        <f t="shared" si="61"/>
        <v>0</v>
      </c>
      <c r="BI46" s="2">
        <f t="shared" si="61"/>
        <v>0</v>
      </c>
      <c r="BJ46" s="2">
        <f t="shared" si="61"/>
        <v>0</v>
      </c>
      <c r="BK46" s="2">
        <f t="shared" si="61"/>
        <v>0</v>
      </c>
      <c r="BL46" s="2">
        <f t="shared" si="61"/>
        <v>0</v>
      </c>
      <c r="BM46" s="2">
        <f t="shared" si="61"/>
        <v>0</v>
      </c>
      <c r="BN46" s="2">
        <f t="shared" si="61"/>
        <v>0</v>
      </c>
      <c r="BO46" s="2">
        <f t="shared" si="61"/>
        <v>0</v>
      </c>
      <c r="BP46" s="2">
        <f t="shared" si="61"/>
        <v>0</v>
      </c>
      <c r="BQ46" s="2">
        <f t="shared" ref="BQ46:CM46" si="62">IF(OR(ISNA(BQ34),$D46=0),0,BQ34*$D46/$D34)</f>
        <v>0</v>
      </c>
      <c r="BR46" s="2">
        <f t="shared" si="62"/>
        <v>0</v>
      </c>
      <c r="BS46" s="2">
        <f t="shared" si="62"/>
        <v>0</v>
      </c>
      <c r="BT46" s="2">
        <f t="shared" si="62"/>
        <v>0</v>
      </c>
      <c r="BU46" s="2">
        <f t="shared" si="62"/>
        <v>0</v>
      </c>
      <c r="BV46" s="2">
        <f t="shared" si="62"/>
        <v>0</v>
      </c>
      <c r="BW46" s="2">
        <f t="shared" si="62"/>
        <v>0</v>
      </c>
      <c r="BX46" s="2">
        <f t="shared" si="62"/>
        <v>0</v>
      </c>
      <c r="BY46" s="2">
        <f t="shared" si="62"/>
        <v>0</v>
      </c>
      <c r="BZ46" s="2">
        <f t="shared" si="62"/>
        <v>0</v>
      </c>
      <c r="CA46" s="2">
        <f t="shared" si="62"/>
        <v>0</v>
      </c>
      <c r="CB46" s="2">
        <f t="shared" si="62"/>
        <v>0</v>
      </c>
      <c r="CC46" s="2">
        <f t="shared" si="62"/>
        <v>0</v>
      </c>
      <c r="CD46" s="2">
        <f t="shared" si="62"/>
        <v>0</v>
      </c>
      <c r="CE46" s="2">
        <f t="shared" si="62"/>
        <v>0</v>
      </c>
      <c r="CF46" s="2">
        <f t="shared" si="62"/>
        <v>0</v>
      </c>
      <c r="CG46" s="2">
        <f t="shared" si="62"/>
        <v>0</v>
      </c>
      <c r="CH46" s="2">
        <f t="shared" si="62"/>
        <v>0</v>
      </c>
      <c r="CI46" s="2">
        <f t="shared" si="62"/>
        <v>0</v>
      </c>
      <c r="CJ46" s="2">
        <f t="shared" si="62"/>
        <v>0</v>
      </c>
      <c r="CK46" s="2">
        <f t="shared" si="62"/>
        <v>0</v>
      </c>
      <c r="CL46" s="2">
        <f t="shared" si="62"/>
        <v>0</v>
      </c>
      <c r="CM46" s="2">
        <f t="shared" si="62"/>
        <v>0</v>
      </c>
    </row>
    <row r="47" spans="1:91">
      <c r="B47">
        <f t="shared" si="47"/>
        <v>0</v>
      </c>
      <c r="D47" s="6">
        <f>入力欄!H9</f>
        <v>0</v>
      </c>
      <c r="E47" s="2">
        <f t="shared" ref="E47:AJ47" si="63">IF(OR(ISNA(E35),$D47=0),0,E35*$D47/$D35)</f>
        <v>0</v>
      </c>
      <c r="F47" s="2">
        <f t="shared" si="63"/>
        <v>0</v>
      </c>
      <c r="G47" s="2">
        <f t="shared" si="63"/>
        <v>0</v>
      </c>
      <c r="H47" s="2">
        <f t="shared" si="63"/>
        <v>0</v>
      </c>
      <c r="I47" s="2">
        <f t="shared" si="63"/>
        <v>0</v>
      </c>
      <c r="J47" s="2">
        <f t="shared" si="63"/>
        <v>0</v>
      </c>
      <c r="K47" s="2">
        <f t="shared" si="63"/>
        <v>0</v>
      </c>
      <c r="L47" s="2">
        <f t="shared" si="63"/>
        <v>0</v>
      </c>
      <c r="M47" s="2">
        <f t="shared" si="63"/>
        <v>0</v>
      </c>
      <c r="N47" s="2">
        <f t="shared" si="63"/>
        <v>0</v>
      </c>
      <c r="O47" s="2">
        <f t="shared" si="63"/>
        <v>0</v>
      </c>
      <c r="P47" s="2">
        <f t="shared" si="63"/>
        <v>0</v>
      </c>
      <c r="Q47" s="2">
        <f t="shared" si="63"/>
        <v>0</v>
      </c>
      <c r="R47" s="2">
        <f t="shared" si="63"/>
        <v>0</v>
      </c>
      <c r="S47" s="2">
        <f t="shared" si="63"/>
        <v>0</v>
      </c>
      <c r="T47" s="2">
        <f t="shared" si="63"/>
        <v>0</v>
      </c>
      <c r="U47" s="2">
        <f t="shared" si="63"/>
        <v>0</v>
      </c>
      <c r="V47" s="2">
        <f t="shared" si="63"/>
        <v>0</v>
      </c>
      <c r="W47" s="2">
        <f t="shared" si="63"/>
        <v>0</v>
      </c>
      <c r="X47" s="2">
        <f t="shared" si="63"/>
        <v>0</v>
      </c>
      <c r="Y47" s="2">
        <f t="shared" si="63"/>
        <v>0</v>
      </c>
      <c r="Z47" s="2">
        <f t="shared" si="63"/>
        <v>0</v>
      </c>
      <c r="AA47" s="2">
        <f t="shared" si="63"/>
        <v>0</v>
      </c>
      <c r="AB47" s="2">
        <f t="shared" si="63"/>
        <v>0</v>
      </c>
      <c r="AC47" s="2">
        <f t="shared" si="63"/>
        <v>0</v>
      </c>
      <c r="AD47" s="2">
        <f t="shared" si="63"/>
        <v>0</v>
      </c>
      <c r="AE47" s="2">
        <f t="shared" si="63"/>
        <v>0</v>
      </c>
      <c r="AF47" s="2">
        <f t="shared" si="63"/>
        <v>0</v>
      </c>
      <c r="AG47" s="2">
        <f t="shared" si="63"/>
        <v>0</v>
      </c>
      <c r="AH47" s="2">
        <f t="shared" si="63"/>
        <v>0</v>
      </c>
      <c r="AI47" s="2">
        <f t="shared" si="63"/>
        <v>0</v>
      </c>
      <c r="AJ47" s="2">
        <f t="shared" si="63"/>
        <v>0</v>
      </c>
      <c r="AK47" s="2">
        <f t="shared" ref="AK47:BP47" si="64">IF(OR(ISNA(AK35),$D47=0),0,AK35*$D47/$D35)</f>
        <v>0</v>
      </c>
      <c r="AL47" s="2">
        <f t="shared" si="64"/>
        <v>0</v>
      </c>
      <c r="AM47" s="2">
        <f t="shared" si="64"/>
        <v>0</v>
      </c>
      <c r="AN47" s="2">
        <f t="shared" si="64"/>
        <v>0</v>
      </c>
      <c r="AO47" s="2">
        <f t="shared" si="64"/>
        <v>0</v>
      </c>
      <c r="AP47" s="2">
        <f t="shared" si="64"/>
        <v>0</v>
      </c>
      <c r="AQ47" s="2">
        <f t="shared" si="64"/>
        <v>0</v>
      </c>
      <c r="AR47" s="2">
        <f t="shared" si="64"/>
        <v>0</v>
      </c>
      <c r="AS47" s="2">
        <f t="shared" si="64"/>
        <v>0</v>
      </c>
      <c r="AT47" s="2">
        <f t="shared" si="64"/>
        <v>0</v>
      </c>
      <c r="AU47" s="2">
        <f t="shared" si="64"/>
        <v>0</v>
      </c>
      <c r="AV47" s="2">
        <f t="shared" si="64"/>
        <v>0</v>
      </c>
      <c r="AW47" s="2">
        <f t="shared" si="64"/>
        <v>0</v>
      </c>
      <c r="AX47" s="2">
        <f t="shared" si="64"/>
        <v>0</v>
      </c>
      <c r="AY47" s="2">
        <f t="shared" si="64"/>
        <v>0</v>
      </c>
      <c r="AZ47" s="2">
        <f t="shared" si="64"/>
        <v>0</v>
      </c>
      <c r="BA47" s="2">
        <f t="shared" si="64"/>
        <v>0</v>
      </c>
      <c r="BB47" s="2">
        <f t="shared" si="64"/>
        <v>0</v>
      </c>
      <c r="BC47" s="2">
        <f t="shared" si="64"/>
        <v>0</v>
      </c>
      <c r="BD47" s="2">
        <f t="shared" si="64"/>
        <v>0</v>
      </c>
      <c r="BE47" s="2">
        <f t="shared" si="64"/>
        <v>0</v>
      </c>
      <c r="BF47" s="2">
        <f t="shared" si="64"/>
        <v>0</v>
      </c>
      <c r="BG47" s="2">
        <f t="shared" si="64"/>
        <v>0</v>
      </c>
      <c r="BH47" s="2">
        <f t="shared" si="64"/>
        <v>0</v>
      </c>
      <c r="BI47" s="2">
        <f t="shared" si="64"/>
        <v>0</v>
      </c>
      <c r="BJ47" s="2">
        <f t="shared" si="64"/>
        <v>0</v>
      </c>
      <c r="BK47" s="2">
        <f t="shared" si="64"/>
        <v>0</v>
      </c>
      <c r="BL47" s="2">
        <f t="shared" si="64"/>
        <v>0</v>
      </c>
      <c r="BM47" s="2">
        <f t="shared" si="64"/>
        <v>0</v>
      </c>
      <c r="BN47" s="2">
        <f t="shared" si="64"/>
        <v>0</v>
      </c>
      <c r="BO47" s="2">
        <f t="shared" si="64"/>
        <v>0</v>
      </c>
      <c r="BP47" s="2">
        <f t="shared" si="64"/>
        <v>0</v>
      </c>
      <c r="BQ47" s="2">
        <f t="shared" ref="BQ47:CM47" si="65">IF(OR(ISNA(BQ35),$D47=0),0,BQ35*$D47/$D35)</f>
        <v>0</v>
      </c>
      <c r="BR47" s="2">
        <f t="shared" si="65"/>
        <v>0</v>
      </c>
      <c r="BS47" s="2">
        <f t="shared" si="65"/>
        <v>0</v>
      </c>
      <c r="BT47" s="2">
        <f t="shared" si="65"/>
        <v>0</v>
      </c>
      <c r="BU47" s="2">
        <f t="shared" si="65"/>
        <v>0</v>
      </c>
      <c r="BV47" s="2">
        <f t="shared" si="65"/>
        <v>0</v>
      </c>
      <c r="BW47" s="2">
        <f t="shared" si="65"/>
        <v>0</v>
      </c>
      <c r="BX47" s="2">
        <f t="shared" si="65"/>
        <v>0</v>
      </c>
      <c r="BY47" s="2">
        <f t="shared" si="65"/>
        <v>0</v>
      </c>
      <c r="BZ47" s="2">
        <f t="shared" si="65"/>
        <v>0</v>
      </c>
      <c r="CA47" s="2">
        <f t="shared" si="65"/>
        <v>0</v>
      </c>
      <c r="CB47" s="2">
        <f t="shared" si="65"/>
        <v>0</v>
      </c>
      <c r="CC47" s="2">
        <f t="shared" si="65"/>
        <v>0</v>
      </c>
      <c r="CD47" s="2">
        <f t="shared" si="65"/>
        <v>0</v>
      </c>
      <c r="CE47" s="2">
        <f t="shared" si="65"/>
        <v>0</v>
      </c>
      <c r="CF47" s="2">
        <f t="shared" si="65"/>
        <v>0</v>
      </c>
      <c r="CG47" s="2">
        <f t="shared" si="65"/>
        <v>0</v>
      </c>
      <c r="CH47" s="2">
        <f t="shared" si="65"/>
        <v>0</v>
      </c>
      <c r="CI47" s="2">
        <f t="shared" si="65"/>
        <v>0</v>
      </c>
      <c r="CJ47" s="2">
        <f t="shared" si="65"/>
        <v>0</v>
      </c>
      <c r="CK47" s="2">
        <f t="shared" si="65"/>
        <v>0</v>
      </c>
      <c r="CL47" s="2">
        <f t="shared" si="65"/>
        <v>0</v>
      </c>
      <c r="CM47" s="2">
        <f t="shared" si="65"/>
        <v>0</v>
      </c>
    </row>
    <row r="48" spans="1:91">
      <c r="B48">
        <f t="shared" si="47"/>
        <v>0</v>
      </c>
      <c r="D48" s="6">
        <f>入力欄!H10</f>
        <v>0</v>
      </c>
      <c r="E48" s="2">
        <f t="shared" ref="E48:AJ48" si="66">IF(OR(ISNA(E36),$D48=0),0,E36*$D48/$D36)</f>
        <v>0</v>
      </c>
      <c r="F48" s="2">
        <f t="shared" si="66"/>
        <v>0</v>
      </c>
      <c r="G48" s="2">
        <f t="shared" si="66"/>
        <v>0</v>
      </c>
      <c r="H48" s="2">
        <f t="shared" si="66"/>
        <v>0</v>
      </c>
      <c r="I48" s="2">
        <f t="shared" si="66"/>
        <v>0</v>
      </c>
      <c r="J48" s="2">
        <f t="shared" si="66"/>
        <v>0</v>
      </c>
      <c r="K48" s="2">
        <f t="shared" si="66"/>
        <v>0</v>
      </c>
      <c r="L48" s="2">
        <f t="shared" si="66"/>
        <v>0</v>
      </c>
      <c r="M48" s="2">
        <f t="shared" si="66"/>
        <v>0</v>
      </c>
      <c r="N48" s="2">
        <f t="shared" si="66"/>
        <v>0</v>
      </c>
      <c r="O48" s="2">
        <f t="shared" si="66"/>
        <v>0</v>
      </c>
      <c r="P48" s="2">
        <f t="shared" si="66"/>
        <v>0</v>
      </c>
      <c r="Q48" s="2">
        <f t="shared" si="66"/>
        <v>0</v>
      </c>
      <c r="R48" s="2">
        <f t="shared" si="66"/>
        <v>0</v>
      </c>
      <c r="S48" s="2">
        <f t="shared" si="66"/>
        <v>0</v>
      </c>
      <c r="T48" s="2">
        <f t="shared" si="66"/>
        <v>0</v>
      </c>
      <c r="U48" s="2">
        <f t="shared" si="66"/>
        <v>0</v>
      </c>
      <c r="V48" s="2">
        <f t="shared" si="66"/>
        <v>0</v>
      </c>
      <c r="W48" s="2">
        <f t="shared" si="66"/>
        <v>0</v>
      </c>
      <c r="X48" s="2">
        <f t="shared" si="66"/>
        <v>0</v>
      </c>
      <c r="Y48" s="2">
        <f t="shared" si="66"/>
        <v>0</v>
      </c>
      <c r="Z48" s="2">
        <f t="shared" si="66"/>
        <v>0</v>
      </c>
      <c r="AA48" s="2">
        <f t="shared" si="66"/>
        <v>0</v>
      </c>
      <c r="AB48" s="2">
        <f t="shared" si="66"/>
        <v>0</v>
      </c>
      <c r="AC48" s="2">
        <f t="shared" si="66"/>
        <v>0</v>
      </c>
      <c r="AD48" s="2">
        <f t="shared" si="66"/>
        <v>0</v>
      </c>
      <c r="AE48" s="2">
        <f t="shared" si="66"/>
        <v>0</v>
      </c>
      <c r="AF48" s="2">
        <f t="shared" si="66"/>
        <v>0</v>
      </c>
      <c r="AG48" s="2">
        <f t="shared" si="66"/>
        <v>0</v>
      </c>
      <c r="AH48" s="2">
        <f t="shared" si="66"/>
        <v>0</v>
      </c>
      <c r="AI48" s="2">
        <f t="shared" si="66"/>
        <v>0</v>
      </c>
      <c r="AJ48" s="2">
        <f t="shared" si="66"/>
        <v>0</v>
      </c>
      <c r="AK48" s="2">
        <f t="shared" ref="AK48:BP48" si="67">IF(OR(ISNA(AK36),$D48=0),0,AK36*$D48/$D36)</f>
        <v>0</v>
      </c>
      <c r="AL48" s="2">
        <f t="shared" si="67"/>
        <v>0</v>
      </c>
      <c r="AM48" s="2">
        <f t="shared" si="67"/>
        <v>0</v>
      </c>
      <c r="AN48" s="2">
        <f t="shared" si="67"/>
        <v>0</v>
      </c>
      <c r="AO48" s="2">
        <f t="shared" si="67"/>
        <v>0</v>
      </c>
      <c r="AP48" s="2">
        <f t="shared" si="67"/>
        <v>0</v>
      </c>
      <c r="AQ48" s="2">
        <f t="shared" si="67"/>
        <v>0</v>
      </c>
      <c r="AR48" s="2">
        <f t="shared" si="67"/>
        <v>0</v>
      </c>
      <c r="AS48" s="2">
        <f t="shared" si="67"/>
        <v>0</v>
      </c>
      <c r="AT48" s="2">
        <f t="shared" si="67"/>
        <v>0</v>
      </c>
      <c r="AU48" s="2">
        <f t="shared" si="67"/>
        <v>0</v>
      </c>
      <c r="AV48" s="2">
        <f t="shared" si="67"/>
        <v>0</v>
      </c>
      <c r="AW48" s="2">
        <f t="shared" si="67"/>
        <v>0</v>
      </c>
      <c r="AX48" s="2">
        <f t="shared" si="67"/>
        <v>0</v>
      </c>
      <c r="AY48" s="2">
        <f t="shared" si="67"/>
        <v>0</v>
      </c>
      <c r="AZ48" s="2">
        <f t="shared" si="67"/>
        <v>0</v>
      </c>
      <c r="BA48" s="2">
        <f t="shared" si="67"/>
        <v>0</v>
      </c>
      <c r="BB48" s="2">
        <f t="shared" si="67"/>
        <v>0</v>
      </c>
      <c r="BC48" s="2">
        <f t="shared" si="67"/>
        <v>0</v>
      </c>
      <c r="BD48" s="2">
        <f t="shared" si="67"/>
        <v>0</v>
      </c>
      <c r="BE48" s="2">
        <f t="shared" si="67"/>
        <v>0</v>
      </c>
      <c r="BF48" s="2">
        <f t="shared" si="67"/>
        <v>0</v>
      </c>
      <c r="BG48" s="2">
        <f t="shared" si="67"/>
        <v>0</v>
      </c>
      <c r="BH48" s="2">
        <f t="shared" si="67"/>
        <v>0</v>
      </c>
      <c r="BI48" s="2">
        <f t="shared" si="67"/>
        <v>0</v>
      </c>
      <c r="BJ48" s="2">
        <f t="shared" si="67"/>
        <v>0</v>
      </c>
      <c r="BK48" s="2">
        <f t="shared" si="67"/>
        <v>0</v>
      </c>
      <c r="BL48" s="2">
        <f t="shared" si="67"/>
        <v>0</v>
      </c>
      <c r="BM48" s="2">
        <f t="shared" si="67"/>
        <v>0</v>
      </c>
      <c r="BN48" s="2">
        <f t="shared" si="67"/>
        <v>0</v>
      </c>
      <c r="BO48" s="2">
        <f t="shared" si="67"/>
        <v>0</v>
      </c>
      <c r="BP48" s="2">
        <f t="shared" si="67"/>
        <v>0</v>
      </c>
      <c r="BQ48" s="2">
        <f t="shared" ref="BQ48:CM48" si="68">IF(OR(ISNA(BQ36),$D48=0),0,BQ36*$D48/$D36)</f>
        <v>0</v>
      </c>
      <c r="BR48" s="2">
        <f t="shared" si="68"/>
        <v>0</v>
      </c>
      <c r="BS48" s="2">
        <f t="shared" si="68"/>
        <v>0</v>
      </c>
      <c r="BT48" s="2">
        <f t="shared" si="68"/>
        <v>0</v>
      </c>
      <c r="BU48" s="2">
        <f t="shared" si="68"/>
        <v>0</v>
      </c>
      <c r="BV48" s="2">
        <f t="shared" si="68"/>
        <v>0</v>
      </c>
      <c r="BW48" s="2">
        <f t="shared" si="68"/>
        <v>0</v>
      </c>
      <c r="BX48" s="2">
        <f t="shared" si="68"/>
        <v>0</v>
      </c>
      <c r="BY48" s="2">
        <f t="shared" si="68"/>
        <v>0</v>
      </c>
      <c r="BZ48" s="2">
        <f t="shared" si="68"/>
        <v>0</v>
      </c>
      <c r="CA48" s="2">
        <f t="shared" si="68"/>
        <v>0</v>
      </c>
      <c r="CB48" s="2">
        <f t="shared" si="68"/>
        <v>0</v>
      </c>
      <c r="CC48" s="2">
        <f t="shared" si="68"/>
        <v>0</v>
      </c>
      <c r="CD48" s="2">
        <f t="shared" si="68"/>
        <v>0</v>
      </c>
      <c r="CE48" s="2">
        <f t="shared" si="68"/>
        <v>0</v>
      </c>
      <c r="CF48" s="2">
        <f t="shared" si="68"/>
        <v>0</v>
      </c>
      <c r="CG48" s="2">
        <f t="shared" si="68"/>
        <v>0</v>
      </c>
      <c r="CH48" s="2">
        <f t="shared" si="68"/>
        <v>0</v>
      </c>
      <c r="CI48" s="2">
        <f t="shared" si="68"/>
        <v>0</v>
      </c>
      <c r="CJ48" s="2">
        <f t="shared" si="68"/>
        <v>0</v>
      </c>
      <c r="CK48" s="2">
        <f t="shared" si="68"/>
        <v>0</v>
      </c>
      <c r="CL48" s="2">
        <f t="shared" si="68"/>
        <v>0</v>
      </c>
      <c r="CM48" s="2">
        <f t="shared" si="68"/>
        <v>0</v>
      </c>
    </row>
    <row r="49" spans="2:91">
      <c r="B49">
        <f t="shared" si="47"/>
        <v>0</v>
      </c>
      <c r="D49" s="6">
        <f>入力欄!H11</f>
        <v>0</v>
      </c>
      <c r="E49" s="2">
        <f t="shared" ref="E49:AJ49" si="69">IF(OR(ISNA(E37),$D49=0),0,E37*$D49/$D37)</f>
        <v>0</v>
      </c>
      <c r="F49" s="2">
        <f t="shared" si="69"/>
        <v>0</v>
      </c>
      <c r="G49" s="2">
        <f t="shared" si="69"/>
        <v>0</v>
      </c>
      <c r="H49" s="2">
        <f t="shared" si="69"/>
        <v>0</v>
      </c>
      <c r="I49" s="2">
        <f t="shared" si="69"/>
        <v>0</v>
      </c>
      <c r="J49" s="2">
        <f t="shared" si="69"/>
        <v>0</v>
      </c>
      <c r="K49" s="2">
        <f t="shared" si="69"/>
        <v>0</v>
      </c>
      <c r="L49" s="2">
        <f t="shared" si="69"/>
        <v>0</v>
      </c>
      <c r="M49" s="2">
        <f t="shared" si="69"/>
        <v>0</v>
      </c>
      <c r="N49" s="2">
        <f t="shared" si="69"/>
        <v>0</v>
      </c>
      <c r="O49" s="2">
        <f t="shared" si="69"/>
        <v>0</v>
      </c>
      <c r="P49" s="2">
        <f t="shared" si="69"/>
        <v>0</v>
      </c>
      <c r="Q49" s="2">
        <f t="shared" si="69"/>
        <v>0</v>
      </c>
      <c r="R49" s="2">
        <f t="shared" si="69"/>
        <v>0</v>
      </c>
      <c r="S49" s="2">
        <f t="shared" si="69"/>
        <v>0</v>
      </c>
      <c r="T49" s="2">
        <f t="shared" si="69"/>
        <v>0</v>
      </c>
      <c r="U49" s="2">
        <f t="shared" si="69"/>
        <v>0</v>
      </c>
      <c r="V49" s="2">
        <f t="shared" si="69"/>
        <v>0</v>
      </c>
      <c r="W49" s="2">
        <f t="shared" si="69"/>
        <v>0</v>
      </c>
      <c r="X49" s="2">
        <f t="shared" si="69"/>
        <v>0</v>
      </c>
      <c r="Y49" s="2">
        <f t="shared" si="69"/>
        <v>0</v>
      </c>
      <c r="Z49" s="2">
        <f t="shared" si="69"/>
        <v>0</v>
      </c>
      <c r="AA49" s="2">
        <f t="shared" si="69"/>
        <v>0</v>
      </c>
      <c r="AB49" s="2">
        <f t="shared" si="69"/>
        <v>0</v>
      </c>
      <c r="AC49" s="2">
        <f t="shared" si="69"/>
        <v>0</v>
      </c>
      <c r="AD49" s="2">
        <f t="shared" si="69"/>
        <v>0</v>
      </c>
      <c r="AE49" s="2">
        <f t="shared" si="69"/>
        <v>0</v>
      </c>
      <c r="AF49" s="2">
        <f t="shared" si="69"/>
        <v>0</v>
      </c>
      <c r="AG49" s="2">
        <f t="shared" si="69"/>
        <v>0</v>
      </c>
      <c r="AH49" s="2">
        <f t="shared" si="69"/>
        <v>0</v>
      </c>
      <c r="AI49" s="2">
        <f t="shared" si="69"/>
        <v>0</v>
      </c>
      <c r="AJ49" s="2">
        <f t="shared" si="69"/>
        <v>0</v>
      </c>
      <c r="AK49" s="2">
        <f t="shared" ref="AK49:BP49" si="70">IF(OR(ISNA(AK37),$D49=0),0,AK37*$D49/$D37)</f>
        <v>0</v>
      </c>
      <c r="AL49" s="2">
        <f t="shared" si="70"/>
        <v>0</v>
      </c>
      <c r="AM49" s="2">
        <f t="shared" si="70"/>
        <v>0</v>
      </c>
      <c r="AN49" s="2">
        <f t="shared" si="70"/>
        <v>0</v>
      </c>
      <c r="AO49" s="2">
        <f t="shared" si="70"/>
        <v>0</v>
      </c>
      <c r="AP49" s="2">
        <f t="shared" si="70"/>
        <v>0</v>
      </c>
      <c r="AQ49" s="2">
        <f t="shared" si="70"/>
        <v>0</v>
      </c>
      <c r="AR49" s="2">
        <f t="shared" si="70"/>
        <v>0</v>
      </c>
      <c r="AS49" s="2">
        <f t="shared" si="70"/>
        <v>0</v>
      </c>
      <c r="AT49" s="2">
        <f t="shared" si="70"/>
        <v>0</v>
      </c>
      <c r="AU49" s="2">
        <f t="shared" si="70"/>
        <v>0</v>
      </c>
      <c r="AV49" s="2">
        <f t="shared" si="70"/>
        <v>0</v>
      </c>
      <c r="AW49" s="2">
        <f t="shared" si="70"/>
        <v>0</v>
      </c>
      <c r="AX49" s="2">
        <f t="shared" si="70"/>
        <v>0</v>
      </c>
      <c r="AY49" s="2">
        <f t="shared" si="70"/>
        <v>0</v>
      </c>
      <c r="AZ49" s="2">
        <f t="shared" si="70"/>
        <v>0</v>
      </c>
      <c r="BA49" s="2">
        <f t="shared" si="70"/>
        <v>0</v>
      </c>
      <c r="BB49" s="2">
        <f t="shared" si="70"/>
        <v>0</v>
      </c>
      <c r="BC49" s="2">
        <f t="shared" si="70"/>
        <v>0</v>
      </c>
      <c r="BD49" s="2">
        <f t="shared" si="70"/>
        <v>0</v>
      </c>
      <c r="BE49" s="2">
        <f t="shared" si="70"/>
        <v>0</v>
      </c>
      <c r="BF49" s="2">
        <f t="shared" si="70"/>
        <v>0</v>
      </c>
      <c r="BG49" s="2">
        <f t="shared" si="70"/>
        <v>0</v>
      </c>
      <c r="BH49" s="2">
        <f t="shared" si="70"/>
        <v>0</v>
      </c>
      <c r="BI49" s="2">
        <f t="shared" si="70"/>
        <v>0</v>
      </c>
      <c r="BJ49" s="2">
        <f t="shared" si="70"/>
        <v>0</v>
      </c>
      <c r="BK49" s="2">
        <f t="shared" si="70"/>
        <v>0</v>
      </c>
      <c r="BL49" s="2">
        <f t="shared" si="70"/>
        <v>0</v>
      </c>
      <c r="BM49" s="2">
        <f t="shared" si="70"/>
        <v>0</v>
      </c>
      <c r="BN49" s="2">
        <f t="shared" si="70"/>
        <v>0</v>
      </c>
      <c r="BO49" s="2">
        <f t="shared" si="70"/>
        <v>0</v>
      </c>
      <c r="BP49" s="2">
        <f t="shared" si="70"/>
        <v>0</v>
      </c>
      <c r="BQ49" s="2">
        <f t="shared" ref="BQ49:CM49" si="71">IF(OR(ISNA(BQ37),$D49=0),0,BQ37*$D49/$D37)</f>
        <v>0</v>
      </c>
      <c r="BR49" s="2">
        <f t="shared" si="71"/>
        <v>0</v>
      </c>
      <c r="BS49" s="2">
        <f t="shared" si="71"/>
        <v>0</v>
      </c>
      <c r="BT49" s="2">
        <f t="shared" si="71"/>
        <v>0</v>
      </c>
      <c r="BU49" s="2">
        <f t="shared" si="71"/>
        <v>0</v>
      </c>
      <c r="BV49" s="2">
        <f t="shared" si="71"/>
        <v>0</v>
      </c>
      <c r="BW49" s="2">
        <f t="shared" si="71"/>
        <v>0</v>
      </c>
      <c r="BX49" s="2">
        <f t="shared" si="71"/>
        <v>0</v>
      </c>
      <c r="BY49" s="2">
        <f t="shared" si="71"/>
        <v>0</v>
      </c>
      <c r="BZ49" s="2">
        <f t="shared" si="71"/>
        <v>0</v>
      </c>
      <c r="CA49" s="2">
        <f t="shared" si="71"/>
        <v>0</v>
      </c>
      <c r="CB49" s="2">
        <f t="shared" si="71"/>
        <v>0</v>
      </c>
      <c r="CC49" s="2">
        <f t="shared" si="71"/>
        <v>0</v>
      </c>
      <c r="CD49" s="2">
        <f t="shared" si="71"/>
        <v>0</v>
      </c>
      <c r="CE49" s="2">
        <f t="shared" si="71"/>
        <v>0</v>
      </c>
      <c r="CF49" s="2">
        <f t="shared" si="71"/>
        <v>0</v>
      </c>
      <c r="CG49" s="2">
        <f t="shared" si="71"/>
        <v>0</v>
      </c>
      <c r="CH49" s="2">
        <f t="shared" si="71"/>
        <v>0</v>
      </c>
      <c r="CI49" s="2">
        <f t="shared" si="71"/>
        <v>0</v>
      </c>
      <c r="CJ49" s="2">
        <f t="shared" si="71"/>
        <v>0</v>
      </c>
      <c r="CK49" s="2">
        <f t="shared" si="71"/>
        <v>0</v>
      </c>
      <c r="CL49" s="2">
        <f t="shared" si="71"/>
        <v>0</v>
      </c>
      <c r="CM49" s="2">
        <f t="shared" si="71"/>
        <v>0</v>
      </c>
    </row>
    <row r="50" spans="2:91">
      <c r="B50">
        <f t="shared" si="47"/>
        <v>0</v>
      </c>
      <c r="D50" s="6">
        <f>入力欄!H12</f>
        <v>0</v>
      </c>
      <c r="E50" s="2">
        <f t="shared" ref="E50:AJ50" si="72">IF(OR(ISNA(E38),$D50=0),0,E38*$D50/$D38)</f>
        <v>0</v>
      </c>
      <c r="F50" s="2">
        <f t="shared" si="72"/>
        <v>0</v>
      </c>
      <c r="G50" s="2">
        <f t="shared" si="72"/>
        <v>0</v>
      </c>
      <c r="H50" s="2">
        <f t="shared" si="72"/>
        <v>0</v>
      </c>
      <c r="I50" s="2">
        <f t="shared" si="72"/>
        <v>0</v>
      </c>
      <c r="J50" s="2">
        <f t="shared" si="72"/>
        <v>0</v>
      </c>
      <c r="K50" s="2">
        <f t="shared" si="72"/>
        <v>0</v>
      </c>
      <c r="L50" s="2">
        <f t="shared" si="72"/>
        <v>0</v>
      </c>
      <c r="M50" s="2">
        <f t="shared" si="72"/>
        <v>0</v>
      </c>
      <c r="N50" s="2">
        <f t="shared" si="72"/>
        <v>0</v>
      </c>
      <c r="O50" s="2">
        <f t="shared" si="72"/>
        <v>0</v>
      </c>
      <c r="P50" s="2">
        <f t="shared" si="72"/>
        <v>0</v>
      </c>
      <c r="Q50" s="2">
        <f t="shared" si="72"/>
        <v>0</v>
      </c>
      <c r="R50" s="2">
        <f t="shared" si="72"/>
        <v>0</v>
      </c>
      <c r="S50" s="2">
        <f t="shared" si="72"/>
        <v>0</v>
      </c>
      <c r="T50" s="2">
        <f t="shared" si="72"/>
        <v>0</v>
      </c>
      <c r="U50" s="2">
        <f t="shared" si="72"/>
        <v>0</v>
      </c>
      <c r="V50" s="2">
        <f t="shared" si="72"/>
        <v>0</v>
      </c>
      <c r="W50" s="2">
        <f t="shared" si="72"/>
        <v>0</v>
      </c>
      <c r="X50" s="2">
        <f t="shared" si="72"/>
        <v>0</v>
      </c>
      <c r="Y50" s="2">
        <f t="shared" si="72"/>
        <v>0</v>
      </c>
      <c r="Z50" s="2">
        <f t="shared" si="72"/>
        <v>0</v>
      </c>
      <c r="AA50" s="2">
        <f t="shared" si="72"/>
        <v>0</v>
      </c>
      <c r="AB50" s="2">
        <f t="shared" si="72"/>
        <v>0</v>
      </c>
      <c r="AC50" s="2">
        <f t="shared" si="72"/>
        <v>0</v>
      </c>
      <c r="AD50" s="2">
        <f t="shared" si="72"/>
        <v>0</v>
      </c>
      <c r="AE50" s="2">
        <f t="shared" si="72"/>
        <v>0</v>
      </c>
      <c r="AF50" s="2">
        <f t="shared" si="72"/>
        <v>0</v>
      </c>
      <c r="AG50" s="2">
        <f t="shared" si="72"/>
        <v>0</v>
      </c>
      <c r="AH50" s="2">
        <f t="shared" si="72"/>
        <v>0</v>
      </c>
      <c r="AI50" s="2">
        <f t="shared" si="72"/>
        <v>0</v>
      </c>
      <c r="AJ50" s="2">
        <f t="shared" si="72"/>
        <v>0</v>
      </c>
      <c r="AK50" s="2">
        <f t="shared" ref="AK50:BP50" si="73">IF(OR(ISNA(AK38),$D50=0),0,AK38*$D50/$D38)</f>
        <v>0</v>
      </c>
      <c r="AL50" s="2">
        <f t="shared" si="73"/>
        <v>0</v>
      </c>
      <c r="AM50" s="2">
        <f t="shared" si="73"/>
        <v>0</v>
      </c>
      <c r="AN50" s="2">
        <f t="shared" si="73"/>
        <v>0</v>
      </c>
      <c r="AO50" s="2">
        <f t="shared" si="73"/>
        <v>0</v>
      </c>
      <c r="AP50" s="2">
        <f t="shared" si="73"/>
        <v>0</v>
      </c>
      <c r="AQ50" s="2">
        <f t="shared" si="73"/>
        <v>0</v>
      </c>
      <c r="AR50" s="2">
        <f t="shared" si="73"/>
        <v>0</v>
      </c>
      <c r="AS50" s="2">
        <f t="shared" si="73"/>
        <v>0</v>
      </c>
      <c r="AT50" s="2">
        <f t="shared" si="73"/>
        <v>0</v>
      </c>
      <c r="AU50" s="2">
        <f t="shared" si="73"/>
        <v>0</v>
      </c>
      <c r="AV50" s="2">
        <f t="shared" si="73"/>
        <v>0</v>
      </c>
      <c r="AW50" s="2">
        <f t="shared" si="73"/>
        <v>0</v>
      </c>
      <c r="AX50" s="2">
        <f t="shared" si="73"/>
        <v>0</v>
      </c>
      <c r="AY50" s="2">
        <f t="shared" si="73"/>
        <v>0</v>
      </c>
      <c r="AZ50" s="2">
        <f t="shared" si="73"/>
        <v>0</v>
      </c>
      <c r="BA50" s="2">
        <f t="shared" si="73"/>
        <v>0</v>
      </c>
      <c r="BB50" s="2">
        <f t="shared" si="73"/>
        <v>0</v>
      </c>
      <c r="BC50" s="2">
        <f t="shared" si="73"/>
        <v>0</v>
      </c>
      <c r="BD50" s="2">
        <f t="shared" si="73"/>
        <v>0</v>
      </c>
      <c r="BE50" s="2">
        <f t="shared" si="73"/>
        <v>0</v>
      </c>
      <c r="BF50" s="2">
        <f t="shared" si="73"/>
        <v>0</v>
      </c>
      <c r="BG50" s="2">
        <f t="shared" si="73"/>
        <v>0</v>
      </c>
      <c r="BH50" s="2">
        <f t="shared" si="73"/>
        <v>0</v>
      </c>
      <c r="BI50" s="2">
        <f t="shared" si="73"/>
        <v>0</v>
      </c>
      <c r="BJ50" s="2">
        <f t="shared" si="73"/>
        <v>0</v>
      </c>
      <c r="BK50" s="2">
        <f t="shared" si="73"/>
        <v>0</v>
      </c>
      <c r="BL50" s="2">
        <f t="shared" si="73"/>
        <v>0</v>
      </c>
      <c r="BM50" s="2">
        <f t="shared" si="73"/>
        <v>0</v>
      </c>
      <c r="BN50" s="2">
        <f t="shared" si="73"/>
        <v>0</v>
      </c>
      <c r="BO50" s="2">
        <f t="shared" si="73"/>
        <v>0</v>
      </c>
      <c r="BP50" s="2">
        <f t="shared" si="73"/>
        <v>0</v>
      </c>
      <c r="BQ50" s="2">
        <f t="shared" ref="BQ50:CM50" si="74">IF(OR(ISNA(BQ38),$D50=0),0,BQ38*$D50/$D38)</f>
        <v>0</v>
      </c>
      <c r="BR50" s="2">
        <f t="shared" si="74"/>
        <v>0</v>
      </c>
      <c r="BS50" s="2">
        <f t="shared" si="74"/>
        <v>0</v>
      </c>
      <c r="BT50" s="2">
        <f t="shared" si="74"/>
        <v>0</v>
      </c>
      <c r="BU50" s="2">
        <f t="shared" si="74"/>
        <v>0</v>
      </c>
      <c r="BV50" s="2">
        <f t="shared" si="74"/>
        <v>0</v>
      </c>
      <c r="BW50" s="2">
        <f t="shared" si="74"/>
        <v>0</v>
      </c>
      <c r="BX50" s="2">
        <f t="shared" si="74"/>
        <v>0</v>
      </c>
      <c r="BY50" s="2">
        <f t="shared" si="74"/>
        <v>0</v>
      </c>
      <c r="BZ50" s="2">
        <f t="shared" si="74"/>
        <v>0</v>
      </c>
      <c r="CA50" s="2">
        <f t="shared" si="74"/>
        <v>0</v>
      </c>
      <c r="CB50" s="2">
        <f t="shared" si="74"/>
        <v>0</v>
      </c>
      <c r="CC50" s="2">
        <f t="shared" si="74"/>
        <v>0</v>
      </c>
      <c r="CD50" s="2">
        <f t="shared" si="74"/>
        <v>0</v>
      </c>
      <c r="CE50" s="2">
        <f t="shared" si="74"/>
        <v>0</v>
      </c>
      <c r="CF50" s="2">
        <f t="shared" si="74"/>
        <v>0</v>
      </c>
      <c r="CG50" s="2">
        <f t="shared" si="74"/>
        <v>0</v>
      </c>
      <c r="CH50" s="2">
        <f t="shared" si="74"/>
        <v>0</v>
      </c>
      <c r="CI50" s="2">
        <f t="shared" si="74"/>
        <v>0</v>
      </c>
      <c r="CJ50" s="2">
        <f t="shared" si="74"/>
        <v>0</v>
      </c>
      <c r="CK50" s="2">
        <f t="shared" si="74"/>
        <v>0</v>
      </c>
      <c r="CL50" s="2">
        <f t="shared" si="74"/>
        <v>0</v>
      </c>
      <c r="CM50" s="2">
        <f t="shared" si="74"/>
        <v>0</v>
      </c>
    </row>
    <row r="51" spans="2:91">
      <c r="B51">
        <f t="shared" si="47"/>
        <v>0</v>
      </c>
      <c r="D51" s="6">
        <f>入力欄!H13</f>
        <v>0</v>
      </c>
      <c r="E51" s="2">
        <f t="shared" ref="E51:AJ51" si="75">IF(OR(ISNA(E39),$D51=0),0,E39*$D51/$D39)</f>
        <v>0</v>
      </c>
      <c r="F51" s="2">
        <f t="shared" si="75"/>
        <v>0</v>
      </c>
      <c r="G51" s="2">
        <f t="shared" si="75"/>
        <v>0</v>
      </c>
      <c r="H51" s="2">
        <f t="shared" si="75"/>
        <v>0</v>
      </c>
      <c r="I51" s="2">
        <f t="shared" si="75"/>
        <v>0</v>
      </c>
      <c r="J51" s="2">
        <f t="shared" si="75"/>
        <v>0</v>
      </c>
      <c r="K51" s="2">
        <f t="shared" si="75"/>
        <v>0</v>
      </c>
      <c r="L51" s="2">
        <f t="shared" si="75"/>
        <v>0</v>
      </c>
      <c r="M51" s="2">
        <f t="shared" si="75"/>
        <v>0</v>
      </c>
      <c r="N51" s="2">
        <f t="shared" si="75"/>
        <v>0</v>
      </c>
      <c r="O51" s="2">
        <f t="shared" si="75"/>
        <v>0</v>
      </c>
      <c r="P51" s="2">
        <f t="shared" si="75"/>
        <v>0</v>
      </c>
      <c r="Q51" s="2">
        <f t="shared" si="75"/>
        <v>0</v>
      </c>
      <c r="R51" s="2">
        <f t="shared" si="75"/>
        <v>0</v>
      </c>
      <c r="S51" s="2">
        <f t="shared" si="75"/>
        <v>0</v>
      </c>
      <c r="T51" s="2">
        <f t="shared" si="75"/>
        <v>0</v>
      </c>
      <c r="U51" s="2">
        <f t="shared" si="75"/>
        <v>0</v>
      </c>
      <c r="V51" s="2">
        <f t="shared" si="75"/>
        <v>0</v>
      </c>
      <c r="W51" s="2">
        <f t="shared" si="75"/>
        <v>0</v>
      </c>
      <c r="X51" s="2">
        <f t="shared" si="75"/>
        <v>0</v>
      </c>
      <c r="Y51" s="2">
        <f t="shared" si="75"/>
        <v>0</v>
      </c>
      <c r="Z51" s="2">
        <f t="shared" si="75"/>
        <v>0</v>
      </c>
      <c r="AA51" s="2">
        <f t="shared" si="75"/>
        <v>0</v>
      </c>
      <c r="AB51" s="2">
        <f t="shared" si="75"/>
        <v>0</v>
      </c>
      <c r="AC51" s="2">
        <f t="shared" si="75"/>
        <v>0</v>
      </c>
      <c r="AD51" s="2">
        <f t="shared" si="75"/>
        <v>0</v>
      </c>
      <c r="AE51" s="2">
        <f t="shared" si="75"/>
        <v>0</v>
      </c>
      <c r="AF51" s="2">
        <f t="shared" si="75"/>
        <v>0</v>
      </c>
      <c r="AG51" s="2">
        <f t="shared" si="75"/>
        <v>0</v>
      </c>
      <c r="AH51" s="2">
        <f t="shared" si="75"/>
        <v>0</v>
      </c>
      <c r="AI51" s="2">
        <f t="shared" si="75"/>
        <v>0</v>
      </c>
      <c r="AJ51" s="2">
        <f t="shared" si="75"/>
        <v>0</v>
      </c>
      <c r="AK51" s="2">
        <f t="shared" ref="AK51:BP51" si="76">IF(OR(ISNA(AK39),$D51=0),0,AK39*$D51/$D39)</f>
        <v>0</v>
      </c>
      <c r="AL51" s="2">
        <f t="shared" si="76"/>
        <v>0</v>
      </c>
      <c r="AM51" s="2">
        <f t="shared" si="76"/>
        <v>0</v>
      </c>
      <c r="AN51" s="2">
        <f t="shared" si="76"/>
        <v>0</v>
      </c>
      <c r="AO51" s="2">
        <f t="shared" si="76"/>
        <v>0</v>
      </c>
      <c r="AP51" s="2">
        <f t="shared" si="76"/>
        <v>0</v>
      </c>
      <c r="AQ51" s="2">
        <f t="shared" si="76"/>
        <v>0</v>
      </c>
      <c r="AR51" s="2">
        <f t="shared" si="76"/>
        <v>0</v>
      </c>
      <c r="AS51" s="2">
        <f t="shared" si="76"/>
        <v>0</v>
      </c>
      <c r="AT51" s="2">
        <f t="shared" si="76"/>
        <v>0</v>
      </c>
      <c r="AU51" s="2">
        <f t="shared" si="76"/>
        <v>0</v>
      </c>
      <c r="AV51" s="2">
        <f t="shared" si="76"/>
        <v>0</v>
      </c>
      <c r="AW51" s="2">
        <f t="shared" si="76"/>
        <v>0</v>
      </c>
      <c r="AX51" s="2">
        <f t="shared" si="76"/>
        <v>0</v>
      </c>
      <c r="AY51" s="2">
        <f t="shared" si="76"/>
        <v>0</v>
      </c>
      <c r="AZ51" s="2">
        <f t="shared" si="76"/>
        <v>0</v>
      </c>
      <c r="BA51" s="2">
        <f t="shared" si="76"/>
        <v>0</v>
      </c>
      <c r="BB51" s="2">
        <f t="shared" si="76"/>
        <v>0</v>
      </c>
      <c r="BC51" s="2">
        <f t="shared" si="76"/>
        <v>0</v>
      </c>
      <c r="BD51" s="2">
        <f t="shared" si="76"/>
        <v>0</v>
      </c>
      <c r="BE51" s="2">
        <f t="shared" si="76"/>
        <v>0</v>
      </c>
      <c r="BF51" s="2">
        <f t="shared" si="76"/>
        <v>0</v>
      </c>
      <c r="BG51" s="2">
        <f t="shared" si="76"/>
        <v>0</v>
      </c>
      <c r="BH51" s="2">
        <f t="shared" si="76"/>
        <v>0</v>
      </c>
      <c r="BI51" s="2">
        <f t="shared" si="76"/>
        <v>0</v>
      </c>
      <c r="BJ51" s="2">
        <f t="shared" si="76"/>
        <v>0</v>
      </c>
      <c r="BK51" s="2">
        <f t="shared" si="76"/>
        <v>0</v>
      </c>
      <c r="BL51" s="2">
        <f t="shared" si="76"/>
        <v>0</v>
      </c>
      <c r="BM51" s="2">
        <f t="shared" si="76"/>
        <v>0</v>
      </c>
      <c r="BN51" s="2">
        <f t="shared" si="76"/>
        <v>0</v>
      </c>
      <c r="BO51" s="2">
        <f t="shared" si="76"/>
        <v>0</v>
      </c>
      <c r="BP51" s="2">
        <f t="shared" si="76"/>
        <v>0</v>
      </c>
      <c r="BQ51" s="2">
        <f t="shared" ref="BQ51:CM51" si="77">IF(OR(ISNA(BQ39),$D51=0),0,BQ39*$D51/$D39)</f>
        <v>0</v>
      </c>
      <c r="BR51" s="2">
        <f t="shared" si="77"/>
        <v>0</v>
      </c>
      <c r="BS51" s="2">
        <f t="shared" si="77"/>
        <v>0</v>
      </c>
      <c r="BT51" s="2">
        <f t="shared" si="77"/>
        <v>0</v>
      </c>
      <c r="BU51" s="2">
        <f t="shared" si="77"/>
        <v>0</v>
      </c>
      <c r="BV51" s="2">
        <f t="shared" si="77"/>
        <v>0</v>
      </c>
      <c r="BW51" s="2">
        <f t="shared" si="77"/>
        <v>0</v>
      </c>
      <c r="BX51" s="2">
        <f t="shared" si="77"/>
        <v>0</v>
      </c>
      <c r="BY51" s="2">
        <f t="shared" si="77"/>
        <v>0</v>
      </c>
      <c r="BZ51" s="2">
        <f t="shared" si="77"/>
        <v>0</v>
      </c>
      <c r="CA51" s="2">
        <f t="shared" si="77"/>
        <v>0</v>
      </c>
      <c r="CB51" s="2">
        <f t="shared" si="77"/>
        <v>0</v>
      </c>
      <c r="CC51" s="2">
        <f t="shared" si="77"/>
        <v>0</v>
      </c>
      <c r="CD51" s="2">
        <f t="shared" si="77"/>
        <v>0</v>
      </c>
      <c r="CE51" s="2">
        <f t="shared" si="77"/>
        <v>0</v>
      </c>
      <c r="CF51" s="2">
        <f t="shared" si="77"/>
        <v>0</v>
      </c>
      <c r="CG51" s="2">
        <f t="shared" si="77"/>
        <v>0</v>
      </c>
      <c r="CH51" s="2">
        <f t="shared" si="77"/>
        <v>0</v>
      </c>
      <c r="CI51" s="2">
        <f t="shared" si="77"/>
        <v>0</v>
      </c>
      <c r="CJ51" s="2">
        <f t="shared" si="77"/>
        <v>0</v>
      </c>
      <c r="CK51" s="2">
        <f t="shared" si="77"/>
        <v>0</v>
      </c>
      <c r="CL51" s="2">
        <f t="shared" si="77"/>
        <v>0</v>
      </c>
      <c r="CM51" s="2">
        <f t="shared" si="77"/>
        <v>0</v>
      </c>
    </row>
    <row r="52" spans="2:91">
      <c r="B52" t="s">
        <v>344</v>
      </c>
      <c r="E52">
        <f t="shared" ref="E52:AJ52" si="78">SUM(E42:E51)</f>
        <v>0</v>
      </c>
      <c r="F52">
        <f t="shared" si="78"/>
        <v>0</v>
      </c>
      <c r="G52">
        <f t="shared" si="78"/>
        <v>0</v>
      </c>
      <c r="H52">
        <f t="shared" si="78"/>
        <v>0</v>
      </c>
      <c r="I52">
        <f t="shared" si="78"/>
        <v>0</v>
      </c>
      <c r="J52">
        <f t="shared" si="78"/>
        <v>0</v>
      </c>
      <c r="K52">
        <f t="shared" si="78"/>
        <v>0</v>
      </c>
      <c r="L52">
        <f t="shared" si="78"/>
        <v>0</v>
      </c>
      <c r="M52">
        <f t="shared" si="78"/>
        <v>0</v>
      </c>
      <c r="N52">
        <f t="shared" si="78"/>
        <v>0</v>
      </c>
      <c r="O52">
        <f t="shared" si="78"/>
        <v>0</v>
      </c>
      <c r="P52">
        <f t="shared" si="78"/>
        <v>0</v>
      </c>
      <c r="Q52">
        <f t="shared" si="78"/>
        <v>0</v>
      </c>
      <c r="R52">
        <f t="shared" si="78"/>
        <v>0</v>
      </c>
      <c r="S52">
        <f t="shared" si="78"/>
        <v>0</v>
      </c>
      <c r="T52">
        <f t="shared" si="78"/>
        <v>0</v>
      </c>
      <c r="U52">
        <f t="shared" si="78"/>
        <v>0</v>
      </c>
      <c r="V52">
        <f t="shared" si="78"/>
        <v>0</v>
      </c>
      <c r="W52">
        <f t="shared" si="78"/>
        <v>0</v>
      </c>
      <c r="X52">
        <f t="shared" si="78"/>
        <v>0</v>
      </c>
      <c r="Y52">
        <f t="shared" si="78"/>
        <v>0</v>
      </c>
      <c r="Z52">
        <f t="shared" si="78"/>
        <v>0</v>
      </c>
      <c r="AA52">
        <f t="shared" si="78"/>
        <v>0</v>
      </c>
      <c r="AB52">
        <f t="shared" si="78"/>
        <v>0</v>
      </c>
      <c r="AC52">
        <f t="shared" si="78"/>
        <v>0</v>
      </c>
      <c r="AD52">
        <f t="shared" si="78"/>
        <v>0</v>
      </c>
      <c r="AE52">
        <f t="shared" si="78"/>
        <v>0</v>
      </c>
      <c r="AF52">
        <f t="shared" si="78"/>
        <v>0</v>
      </c>
      <c r="AG52">
        <f t="shared" si="78"/>
        <v>0</v>
      </c>
      <c r="AH52">
        <f t="shared" si="78"/>
        <v>0</v>
      </c>
      <c r="AI52">
        <f t="shared" si="78"/>
        <v>0</v>
      </c>
      <c r="AJ52">
        <f t="shared" si="78"/>
        <v>0</v>
      </c>
      <c r="AK52">
        <f t="shared" ref="AK52:BP52" si="79">SUM(AK42:AK51)</f>
        <v>0</v>
      </c>
      <c r="AL52">
        <f t="shared" si="79"/>
        <v>0</v>
      </c>
      <c r="AM52">
        <f t="shared" si="79"/>
        <v>0</v>
      </c>
      <c r="AN52">
        <f t="shared" si="79"/>
        <v>0</v>
      </c>
      <c r="AO52">
        <f t="shared" si="79"/>
        <v>0</v>
      </c>
      <c r="AP52">
        <f t="shared" si="79"/>
        <v>0</v>
      </c>
      <c r="AQ52">
        <f t="shared" si="79"/>
        <v>0</v>
      </c>
      <c r="AR52">
        <f t="shared" si="79"/>
        <v>0</v>
      </c>
      <c r="AS52">
        <f t="shared" si="79"/>
        <v>0</v>
      </c>
      <c r="AT52">
        <f t="shared" si="79"/>
        <v>0</v>
      </c>
      <c r="AU52">
        <f t="shared" si="79"/>
        <v>0</v>
      </c>
      <c r="AV52">
        <f t="shared" si="79"/>
        <v>0</v>
      </c>
      <c r="AW52">
        <f t="shared" si="79"/>
        <v>0</v>
      </c>
      <c r="AX52">
        <f t="shared" si="79"/>
        <v>0</v>
      </c>
      <c r="AY52">
        <f t="shared" si="79"/>
        <v>0</v>
      </c>
      <c r="AZ52">
        <f t="shared" si="79"/>
        <v>0</v>
      </c>
      <c r="BA52">
        <f t="shared" si="79"/>
        <v>0</v>
      </c>
      <c r="BB52">
        <f t="shared" si="79"/>
        <v>0</v>
      </c>
      <c r="BC52">
        <f t="shared" si="79"/>
        <v>0</v>
      </c>
      <c r="BD52">
        <f t="shared" si="79"/>
        <v>0</v>
      </c>
      <c r="BE52">
        <f t="shared" si="79"/>
        <v>0</v>
      </c>
      <c r="BF52">
        <f t="shared" si="79"/>
        <v>0</v>
      </c>
      <c r="BG52">
        <f t="shared" si="79"/>
        <v>0</v>
      </c>
      <c r="BH52">
        <f t="shared" si="79"/>
        <v>0</v>
      </c>
      <c r="BI52">
        <f t="shared" si="79"/>
        <v>0</v>
      </c>
      <c r="BJ52">
        <f t="shared" si="79"/>
        <v>0</v>
      </c>
      <c r="BK52">
        <f t="shared" si="79"/>
        <v>0</v>
      </c>
      <c r="BL52">
        <f t="shared" si="79"/>
        <v>0</v>
      </c>
      <c r="BM52">
        <f t="shared" si="79"/>
        <v>0</v>
      </c>
      <c r="BN52">
        <f t="shared" si="79"/>
        <v>0</v>
      </c>
      <c r="BO52">
        <f t="shared" si="79"/>
        <v>0</v>
      </c>
      <c r="BP52">
        <f t="shared" si="79"/>
        <v>0</v>
      </c>
      <c r="BQ52">
        <f t="shared" ref="BQ52:CJ52" si="80">SUM(BQ42:BQ51)</f>
        <v>0</v>
      </c>
      <c r="BR52">
        <f t="shared" si="80"/>
        <v>0</v>
      </c>
      <c r="BS52">
        <f t="shared" si="80"/>
        <v>0</v>
      </c>
      <c r="BT52">
        <f t="shared" si="80"/>
        <v>0</v>
      </c>
      <c r="BU52">
        <f t="shared" si="80"/>
        <v>0</v>
      </c>
      <c r="BV52">
        <f t="shared" si="80"/>
        <v>0</v>
      </c>
      <c r="BW52">
        <f t="shared" si="80"/>
        <v>0</v>
      </c>
      <c r="BX52">
        <f t="shared" si="80"/>
        <v>0</v>
      </c>
      <c r="BY52">
        <f t="shared" si="80"/>
        <v>0</v>
      </c>
      <c r="BZ52">
        <f t="shared" si="80"/>
        <v>0</v>
      </c>
      <c r="CA52">
        <f t="shared" si="80"/>
        <v>0</v>
      </c>
      <c r="CB52">
        <f t="shared" si="80"/>
        <v>0</v>
      </c>
      <c r="CC52">
        <f t="shared" si="80"/>
        <v>0</v>
      </c>
      <c r="CD52">
        <f t="shared" si="80"/>
        <v>0</v>
      </c>
      <c r="CE52">
        <f t="shared" si="80"/>
        <v>0</v>
      </c>
      <c r="CF52">
        <f t="shared" si="80"/>
        <v>0</v>
      </c>
      <c r="CG52">
        <f t="shared" si="80"/>
        <v>0</v>
      </c>
      <c r="CH52">
        <f t="shared" si="80"/>
        <v>0</v>
      </c>
      <c r="CI52">
        <f t="shared" si="80"/>
        <v>0</v>
      </c>
      <c r="CJ52">
        <f t="shared" si="80"/>
        <v>0</v>
      </c>
      <c r="CK52" s="21" t="e">
        <f>SUM(CK42:CK51)/E52*1000</f>
        <v>#DIV/0!</v>
      </c>
      <c r="CL52">
        <f>SUM(CL42:CL51)</f>
        <v>0</v>
      </c>
      <c r="CM52">
        <f>SUM(CM42:CM51)</f>
        <v>0</v>
      </c>
    </row>
    <row r="53" spans="2:91">
      <c r="B53" t="s">
        <v>347</v>
      </c>
      <c r="E53" s="6">
        <f>入力欄!H15</f>
        <v>0</v>
      </c>
      <c r="F53">
        <f>IF($E$52=0,0,F52*$E$53/$E$52)</f>
        <v>0</v>
      </c>
      <c r="G53">
        <f t="shared" ref="G53:BR53" si="81">IF($E$52=0,0,G52*$E$53/$E$52)</f>
        <v>0</v>
      </c>
      <c r="H53">
        <f t="shared" si="81"/>
        <v>0</v>
      </c>
      <c r="I53">
        <f t="shared" si="81"/>
        <v>0</v>
      </c>
      <c r="J53">
        <f t="shared" si="81"/>
        <v>0</v>
      </c>
      <c r="K53">
        <f t="shared" si="81"/>
        <v>0</v>
      </c>
      <c r="L53">
        <f t="shared" si="81"/>
        <v>0</v>
      </c>
      <c r="M53">
        <f t="shared" si="81"/>
        <v>0</v>
      </c>
      <c r="N53">
        <f t="shared" si="81"/>
        <v>0</v>
      </c>
      <c r="O53">
        <f t="shared" si="81"/>
        <v>0</v>
      </c>
      <c r="P53">
        <f t="shared" si="81"/>
        <v>0</v>
      </c>
      <c r="Q53">
        <f t="shared" si="81"/>
        <v>0</v>
      </c>
      <c r="R53">
        <f t="shared" si="81"/>
        <v>0</v>
      </c>
      <c r="S53">
        <f t="shared" si="81"/>
        <v>0</v>
      </c>
      <c r="T53">
        <f t="shared" si="81"/>
        <v>0</v>
      </c>
      <c r="U53">
        <f t="shared" si="81"/>
        <v>0</v>
      </c>
      <c r="V53">
        <f t="shared" si="81"/>
        <v>0</v>
      </c>
      <c r="W53">
        <f t="shared" si="81"/>
        <v>0</v>
      </c>
      <c r="X53">
        <f t="shared" si="81"/>
        <v>0</v>
      </c>
      <c r="Y53">
        <f t="shared" si="81"/>
        <v>0</v>
      </c>
      <c r="Z53">
        <f t="shared" si="81"/>
        <v>0</v>
      </c>
      <c r="AA53">
        <f t="shared" si="81"/>
        <v>0</v>
      </c>
      <c r="AB53">
        <f t="shared" si="81"/>
        <v>0</v>
      </c>
      <c r="AC53">
        <f t="shared" si="81"/>
        <v>0</v>
      </c>
      <c r="AD53">
        <f t="shared" si="81"/>
        <v>0</v>
      </c>
      <c r="AE53">
        <f t="shared" si="81"/>
        <v>0</v>
      </c>
      <c r="AF53">
        <f t="shared" si="81"/>
        <v>0</v>
      </c>
      <c r="AG53">
        <f t="shared" si="81"/>
        <v>0</v>
      </c>
      <c r="AH53">
        <f t="shared" si="81"/>
        <v>0</v>
      </c>
      <c r="AI53">
        <f t="shared" si="81"/>
        <v>0</v>
      </c>
      <c r="AJ53">
        <f t="shared" si="81"/>
        <v>0</v>
      </c>
      <c r="AK53">
        <f t="shared" si="81"/>
        <v>0</v>
      </c>
      <c r="AL53">
        <f t="shared" si="81"/>
        <v>0</v>
      </c>
      <c r="AM53">
        <f t="shared" si="81"/>
        <v>0</v>
      </c>
      <c r="AN53">
        <f t="shared" si="81"/>
        <v>0</v>
      </c>
      <c r="AO53">
        <f t="shared" si="81"/>
        <v>0</v>
      </c>
      <c r="AP53">
        <f t="shared" si="81"/>
        <v>0</v>
      </c>
      <c r="AQ53">
        <f t="shared" si="81"/>
        <v>0</v>
      </c>
      <c r="AR53">
        <f t="shared" si="81"/>
        <v>0</v>
      </c>
      <c r="AS53">
        <f t="shared" si="81"/>
        <v>0</v>
      </c>
      <c r="AT53">
        <f t="shared" si="81"/>
        <v>0</v>
      </c>
      <c r="AU53">
        <f t="shared" si="81"/>
        <v>0</v>
      </c>
      <c r="AV53">
        <f t="shared" si="81"/>
        <v>0</v>
      </c>
      <c r="AW53">
        <f t="shared" si="81"/>
        <v>0</v>
      </c>
      <c r="AX53">
        <f t="shared" si="81"/>
        <v>0</v>
      </c>
      <c r="AY53">
        <f t="shared" si="81"/>
        <v>0</v>
      </c>
      <c r="AZ53">
        <f t="shared" si="81"/>
        <v>0</v>
      </c>
      <c r="BA53">
        <f t="shared" si="81"/>
        <v>0</v>
      </c>
      <c r="BB53">
        <f t="shared" si="81"/>
        <v>0</v>
      </c>
      <c r="BC53">
        <f t="shared" si="81"/>
        <v>0</v>
      </c>
      <c r="BD53">
        <f t="shared" si="81"/>
        <v>0</v>
      </c>
      <c r="BE53">
        <f t="shared" si="81"/>
        <v>0</v>
      </c>
      <c r="BF53">
        <f t="shared" si="81"/>
        <v>0</v>
      </c>
      <c r="BG53">
        <f t="shared" si="81"/>
        <v>0</v>
      </c>
      <c r="BH53">
        <f t="shared" si="81"/>
        <v>0</v>
      </c>
      <c r="BI53">
        <f t="shared" si="81"/>
        <v>0</v>
      </c>
      <c r="BJ53">
        <f t="shared" si="81"/>
        <v>0</v>
      </c>
      <c r="BK53">
        <f t="shared" si="81"/>
        <v>0</v>
      </c>
      <c r="BL53">
        <f t="shared" si="81"/>
        <v>0</v>
      </c>
      <c r="BM53">
        <f t="shared" si="81"/>
        <v>0</v>
      </c>
      <c r="BN53">
        <f t="shared" si="81"/>
        <v>0</v>
      </c>
      <c r="BO53">
        <f t="shared" si="81"/>
        <v>0</v>
      </c>
      <c r="BP53">
        <f t="shared" si="81"/>
        <v>0</v>
      </c>
      <c r="BQ53">
        <f t="shared" si="81"/>
        <v>0</v>
      </c>
      <c r="BR53">
        <f t="shared" si="81"/>
        <v>0</v>
      </c>
      <c r="BS53">
        <f t="shared" ref="BS53:CE53" si="82">IF($E$52=0,0,BS52*$E$53/$E$52)</f>
        <v>0</v>
      </c>
      <c r="BT53">
        <f t="shared" si="82"/>
        <v>0</v>
      </c>
      <c r="BU53">
        <f t="shared" si="82"/>
        <v>0</v>
      </c>
      <c r="BV53">
        <f t="shared" si="82"/>
        <v>0</v>
      </c>
      <c r="BW53">
        <f t="shared" si="82"/>
        <v>0</v>
      </c>
      <c r="BX53">
        <f t="shared" si="82"/>
        <v>0</v>
      </c>
      <c r="BY53">
        <f t="shared" si="82"/>
        <v>0</v>
      </c>
      <c r="BZ53">
        <f t="shared" si="82"/>
        <v>0</v>
      </c>
      <c r="CA53">
        <f t="shared" si="82"/>
        <v>0</v>
      </c>
      <c r="CB53">
        <f t="shared" si="82"/>
        <v>0</v>
      </c>
      <c r="CC53">
        <f t="shared" si="82"/>
        <v>0</v>
      </c>
      <c r="CD53">
        <f t="shared" si="82"/>
        <v>0</v>
      </c>
      <c r="CE53">
        <f t="shared" si="82"/>
        <v>0</v>
      </c>
      <c r="CF53">
        <f t="shared" ref="CF53:CH53" si="83">IF($E$52=0,0,CF52*$E$53/$E$52)</f>
        <v>0</v>
      </c>
      <c r="CG53">
        <f t="shared" si="83"/>
        <v>0</v>
      </c>
      <c r="CH53">
        <f t="shared" si="83"/>
        <v>0</v>
      </c>
      <c r="CI53">
        <f t="shared" ref="CI53:CM53" si="84">IF($E$52=0,0,CI52*$E$53/$E$52)</f>
        <v>0</v>
      </c>
      <c r="CJ53">
        <f t="shared" si="84"/>
        <v>0</v>
      </c>
      <c r="CK53">
        <f t="shared" si="84"/>
        <v>0</v>
      </c>
      <c r="CL53">
        <f t="shared" si="84"/>
        <v>0</v>
      </c>
      <c r="CM53">
        <f t="shared" si="84"/>
        <v>0</v>
      </c>
    </row>
    <row r="55" spans="2:91">
      <c r="B55" s="19" t="s">
        <v>350</v>
      </c>
      <c r="C55" s="19"/>
      <c r="D55" s="19"/>
      <c r="E55" s="19">
        <f t="shared" ref="E55:AJ55" si="85">E28+E53</f>
        <v>0</v>
      </c>
      <c r="F55" s="19">
        <f t="shared" si="85"/>
        <v>0</v>
      </c>
      <c r="G55" s="19">
        <f t="shared" si="85"/>
        <v>0</v>
      </c>
      <c r="H55" s="19">
        <f t="shared" si="85"/>
        <v>0</v>
      </c>
      <c r="I55" s="19">
        <f t="shared" si="85"/>
        <v>0</v>
      </c>
      <c r="J55" s="19">
        <f t="shared" si="85"/>
        <v>0</v>
      </c>
      <c r="K55" s="19">
        <f t="shared" si="85"/>
        <v>0</v>
      </c>
      <c r="L55" s="19">
        <f t="shared" si="85"/>
        <v>0</v>
      </c>
      <c r="M55" s="19">
        <f t="shared" si="85"/>
        <v>0</v>
      </c>
      <c r="N55" s="19">
        <f t="shared" si="85"/>
        <v>0</v>
      </c>
      <c r="O55" s="19">
        <f t="shared" si="85"/>
        <v>0</v>
      </c>
      <c r="P55" s="19">
        <f t="shared" si="85"/>
        <v>0</v>
      </c>
      <c r="Q55" s="19">
        <f t="shared" si="85"/>
        <v>0</v>
      </c>
      <c r="R55" s="19">
        <f t="shared" si="85"/>
        <v>0</v>
      </c>
      <c r="S55" s="19">
        <f t="shared" si="85"/>
        <v>0</v>
      </c>
      <c r="T55" s="19">
        <f t="shared" si="85"/>
        <v>0</v>
      </c>
      <c r="U55" s="19">
        <f t="shared" si="85"/>
        <v>0</v>
      </c>
      <c r="V55" s="19">
        <f t="shared" si="85"/>
        <v>0</v>
      </c>
      <c r="W55" s="19">
        <f t="shared" si="85"/>
        <v>0</v>
      </c>
      <c r="X55" s="19">
        <f t="shared" si="85"/>
        <v>0</v>
      </c>
      <c r="Y55" s="19">
        <f t="shared" si="85"/>
        <v>0</v>
      </c>
      <c r="Z55" s="19">
        <f t="shared" si="85"/>
        <v>0</v>
      </c>
      <c r="AA55" s="19">
        <f t="shared" si="85"/>
        <v>0</v>
      </c>
      <c r="AB55" s="19">
        <f t="shared" si="85"/>
        <v>0</v>
      </c>
      <c r="AC55" s="19">
        <f t="shared" si="85"/>
        <v>0</v>
      </c>
      <c r="AD55" s="19">
        <f t="shared" si="85"/>
        <v>0</v>
      </c>
      <c r="AE55" s="19">
        <f t="shared" si="85"/>
        <v>0</v>
      </c>
      <c r="AF55" s="19">
        <f t="shared" si="85"/>
        <v>0</v>
      </c>
      <c r="AG55" s="19">
        <f t="shared" si="85"/>
        <v>0</v>
      </c>
      <c r="AH55" s="19">
        <f t="shared" si="85"/>
        <v>0</v>
      </c>
      <c r="AI55" s="19">
        <f t="shared" si="85"/>
        <v>0</v>
      </c>
      <c r="AJ55" s="19">
        <f t="shared" si="85"/>
        <v>0</v>
      </c>
      <c r="AK55" s="21" t="e">
        <f>AJ55/BH55</f>
        <v>#DIV/0!</v>
      </c>
      <c r="AL55" s="19">
        <f t="shared" ref="AL55:BF55" si="86">AL28+AL53</f>
        <v>0</v>
      </c>
      <c r="AM55" s="19">
        <f t="shared" si="86"/>
        <v>0</v>
      </c>
      <c r="AN55" s="19">
        <f t="shared" si="86"/>
        <v>0</v>
      </c>
      <c r="AO55" s="19">
        <f t="shared" si="86"/>
        <v>0</v>
      </c>
      <c r="AP55" s="19">
        <f t="shared" si="86"/>
        <v>0</v>
      </c>
      <c r="AQ55" s="19">
        <f t="shared" si="86"/>
        <v>0</v>
      </c>
      <c r="AR55" s="19">
        <f t="shared" si="86"/>
        <v>0</v>
      </c>
      <c r="AS55" s="19">
        <f t="shared" si="86"/>
        <v>0</v>
      </c>
      <c r="AT55" s="19">
        <f t="shared" si="86"/>
        <v>0</v>
      </c>
      <c r="AU55" s="19">
        <f t="shared" si="86"/>
        <v>0</v>
      </c>
      <c r="AV55" s="19">
        <f t="shared" si="86"/>
        <v>0</v>
      </c>
      <c r="AW55" s="19">
        <f t="shared" si="86"/>
        <v>0</v>
      </c>
      <c r="AX55" s="19">
        <f t="shared" si="86"/>
        <v>0</v>
      </c>
      <c r="AY55" s="19">
        <f t="shared" si="86"/>
        <v>0</v>
      </c>
      <c r="AZ55" s="19">
        <f t="shared" si="86"/>
        <v>0</v>
      </c>
      <c r="BA55" s="19">
        <f t="shared" si="86"/>
        <v>0</v>
      </c>
      <c r="BB55" s="19">
        <f t="shared" si="86"/>
        <v>0</v>
      </c>
      <c r="BC55" s="19">
        <f t="shared" si="86"/>
        <v>0</v>
      </c>
      <c r="BD55" s="19">
        <f t="shared" si="86"/>
        <v>0</v>
      </c>
      <c r="BE55" s="19">
        <f t="shared" si="86"/>
        <v>0</v>
      </c>
      <c r="BF55" s="19">
        <f t="shared" si="86"/>
        <v>0</v>
      </c>
      <c r="BG55" s="21" t="e">
        <f>SUM(AM55:AT55,AX55)/(SUM(AM55:BE55)-SUM(AM55:AT55,AX55))</f>
        <v>#DIV/0!</v>
      </c>
      <c r="BH55" s="19">
        <f>BH28+BH53</f>
        <v>0</v>
      </c>
      <c r="BI55" s="21" t="e">
        <f>SUM(AM55:AO55)/AE55*100</f>
        <v>#DIV/0!</v>
      </c>
      <c r="BJ55" s="19">
        <f t="shared" ref="BJ55:CM55" si="87">BJ28+BJ53</f>
        <v>0</v>
      </c>
      <c r="BK55" s="19">
        <f t="shared" si="87"/>
        <v>0</v>
      </c>
      <c r="BL55" s="19">
        <f t="shared" si="87"/>
        <v>0</v>
      </c>
      <c r="BM55" s="19">
        <f t="shared" si="87"/>
        <v>0</v>
      </c>
      <c r="BN55" s="19">
        <f t="shared" si="87"/>
        <v>0</v>
      </c>
      <c r="BO55" s="19">
        <f t="shared" si="87"/>
        <v>0</v>
      </c>
      <c r="BP55" s="19">
        <f t="shared" si="87"/>
        <v>0</v>
      </c>
      <c r="BQ55" s="19">
        <f t="shared" si="87"/>
        <v>0</v>
      </c>
      <c r="BR55" s="19">
        <f t="shared" si="87"/>
        <v>0</v>
      </c>
      <c r="BS55" s="19">
        <f t="shared" si="87"/>
        <v>0</v>
      </c>
      <c r="BT55" s="19">
        <f t="shared" si="87"/>
        <v>0</v>
      </c>
      <c r="BU55" s="19">
        <f t="shared" si="87"/>
        <v>0</v>
      </c>
      <c r="BV55" s="19">
        <f t="shared" si="87"/>
        <v>0</v>
      </c>
      <c r="BW55" s="19">
        <f t="shared" si="87"/>
        <v>0</v>
      </c>
      <c r="BX55" s="19">
        <f t="shared" si="87"/>
        <v>0</v>
      </c>
      <c r="BY55" s="19">
        <f t="shared" si="87"/>
        <v>0</v>
      </c>
      <c r="BZ55" s="19">
        <f t="shared" si="87"/>
        <v>0</v>
      </c>
      <c r="CA55" s="19">
        <f t="shared" si="87"/>
        <v>0</v>
      </c>
      <c r="CB55" s="19">
        <f t="shared" si="87"/>
        <v>0</v>
      </c>
      <c r="CC55" s="19">
        <f t="shared" si="87"/>
        <v>0</v>
      </c>
      <c r="CD55" s="19">
        <f t="shared" si="87"/>
        <v>0</v>
      </c>
      <c r="CE55" s="19">
        <f t="shared" si="87"/>
        <v>0</v>
      </c>
      <c r="CF55" s="19">
        <f t="shared" si="87"/>
        <v>0</v>
      </c>
      <c r="CG55" s="19">
        <f t="shared" si="87"/>
        <v>0</v>
      </c>
      <c r="CH55" s="19">
        <f t="shared" si="87"/>
        <v>0</v>
      </c>
      <c r="CI55" s="19">
        <f t="shared" si="87"/>
        <v>0</v>
      </c>
      <c r="CJ55" s="19">
        <f t="shared" si="87"/>
        <v>0</v>
      </c>
      <c r="CK55" s="19">
        <f t="shared" si="87"/>
        <v>0</v>
      </c>
      <c r="CL55" s="19">
        <f t="shared" si="87"/>
        <v>0</v>
      </c>
      <c r="CM55" s="19">
        <f t="shared" si="87"/>
        <v>0</v>
      </c>
    </row>
    <row r="56" spans="2:91">
      <c r="BI56" t="e">
        <f>SUMPRODUCT(D42:D51,AE30:AE39,BI30:BI39)/SUMPRODUCT(D42:D51,AE30:AE39)</f>
        <v>#N/A</v>
      </c>
    </row>
    <row r="57" spans="2:91">
      <c r="B57" s="18" t="s">
        <v>617</v>
      </c>
      <c r="BI57" t="e">
        <f>SUMPRODUCT(D42:D51,AE30:AE39,BI30:BI39)</f>
        <v>#N/A</v>
      </c>
    </row>
    <row r="58" spans="2:91">
      <c r="B58" s="6" t="s">
        <v>616</v>
      </c>
    </row>
    <row r="59" spans="2:91">
      <c r="B59" s="19" t="s">
        <v>350</v>
      </c>
    </row>
    <row r="60" spans="2:91">
      <c r="B60" s="21" t="s">
        <v>1079</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43"/>
  <sheetViews>
    <sheetView workbookViewId="0"/>
  </sheetViews>
  <sheetFormatPr defaultRowHeight="13.5"/>
  <sheetData>
    <row r="1" spans="1:12">
      <c r="B1" t="s">
        <v>1005</v>
      </c>
      <c r="C1" t="s">
        <v>1006</v>
      </c>
      <c r="D1" t="s">
        <v>1007</v>
      </c>
      <c r="E1" t="s">
        <v>1009</v>
      </c>
      <c r="J1" t="s">
        <v>1011</v>
      </c>
    </row>
    <row r="2" spans="1:12">
      <c r="C2" s="1" t="e">
        <f ca="1">INDIRECT("入力欄!"&amp;ADDRESS(CELL("row"),CELL("col")-1,1))</f>
        <v>#VALUE!</v>
      </c>
      <c r="D2" s="1">
        <f ca="1">INDIRECT("入力欄!"&amp;ADDRESS(CELL("row"),CELL("col"),1))</f>
        <v>0</v>
      </c>
      <c r="E2" t="e">
        <f ca="1">MATCH(D3,輸液一覧製品名,0)</f>
        <v>#N/A</v>
      </c>
      <c r="G2" t="s">
        <v>559</v>
      </c>
    </row>
    <row r="3" spans="1:12">
      <c r="B3" s="1"/>
      <c r="C3" s="3" t="e">
        <f ca="1">IF(C2=0,"頻用薬リスト",C2)</f>
        <v>#VALUE!</v>
      </c>
      <c r="D3" s="3">
        <f ca="1">D2</f>
        <v>0</v>
      </c>
      <c r="E3" t="e">
        <f ca="1">INDEX(輸液一覧輸液種類,E2,1)</f>
        <v>#N/A</v>
      </c>
      <c r="G3" t="s">
        <v>557</v>
      </c>
      <c r="J3" t="s">
        <v>1012</v>
      </c>
      <c r="K3" t="s">
        <v>1015</v>
      </c>
      <c r="L3" t="s">
        <v>1017</v>
      </c>
    </row>
    <row r="4" spans="1:12">
      <c r="A4" s="1">
        <v>1</v>
      </c>
      <c r="B4" s="1" t="e">
        <f ca="1">IF($D$3=0,C4,IF(ISNA(E2)=TRUE,D4,E4))</f>
        <v>#VALUE!</v>
      </c>
      <c r="C4" s="1" t="e">
        <f ca="1">INDEX(INDIRECT($C$3),$A4,1)</f>
        <v>#VALUE!</v>
      </c>
      <c r="D4" s="1" t="str">
        <f ca="1">INDEX(検索語句!A:A,MATCH(SMALL(検索語句!I:I,A4),検索語句!I:I,0),1)</f>
        <v>10%EL3号輸液</v>
      </c>
      <c r="E4" s="1" t="e">
        <f ca="1">INDEX(INDIRECT($E$3),$A4,1)</f>
        <v>#N/A</v>
      </c>
      <c r="G4" t="s">
        <v>1008</v>
      </c>
      <c r="J4" t="s">
        <v>1013</v>
      </c>
      <c r="K4" t="s">
        <v>1013</v>
      </c>
      <c r="L4" t="s">
        <v>1018</v>
      </c>
    </row>
    <row r="5" spans="1:12">
      <c r="A5" s="1">
        <v>2</v>
      </c>
      <c r="B5" s="1" t="e">
        <f t="shared" ref="B5:B43" ca="1" si="0">IF($D$3=0,C5,IF(ISNA(E3)=TRUE,D5,E5))</f>
        <v>#VALUE!</v>
      </c>
      <c r="C5" s="1" t="e">
        <f t="shared" ref="C5:C43" ca="1" si="1">INDEX(INDIRECT($C$3),$A5,1)</f>
        <v>#VALUE!</v>
      </c>
      <c r="D5" s="1" t="str">
        <f ca="1">INDEX(検索語句!A:A,MATCH(SMALL(検索語句!I:I,A5),検索語句!I:I,0),1)</f>
        <v>ブドウ糖10%</v>
      </c>
      <c r="E5" s="1" t="e">
        <f t="shared" ref="E5:E43" ca="1" si="2">INDEX(INDIRECT($E$3),$A5,1)</f>
        <v>#N/A</v>
      </c>
      <c r="G5" t="s">
        <v>545</v>
      </c>
      <c r="K5" t="s">
        <v>1016</v>
      </c>
      <c r="L5" t="s">
        <v>1015</v>
      </c>
    </row>
    <row r="6" spans="1:12">
      <c r="A6" s="1">
        <v>3</v>
      </c>
      <c r="B6" s="1" t="e">
        <f t="shared" ca="1" si="0"/>
        <v>#VALUE!</v>
      </c>
      <c r="C6" s="1" t="e">
        <f t="shared" ca="1" si="1"/>
        <v>#VALUE!</v>
      </c>
      <c r="D6" s="1" t="str">
        <f ca="1">INDEX(検索語句!A:A,MATCH(SMALL(検索語句!I:I,A6),検索語句!I:I,0),1)</f>
        <v>ブドウ糖20%</v>
      </c>
      <c r="E6" s="1" t="e">
        <f t="shared" ca="1" si="2"/>
        <v>#N/A</v>
      </c>
      <c r="G6" t="s">
        <v>546</v>
      </c>
      <c r="J6" t="s">
        <v>1020</v>
      </c>
      <c r="L6" t="s">
        <v>1019</v>
      </c>
    </row>
    <row r="7" spans="1:12">
      <c r="A7" s="1">
        <v>4</v>
      </c>
      <c r="B7" s="1" t="e">
        <f t="shared" ca="1" si="0"/>
        <v>#VALUE!</v>
      </c>
      <c r="C7" s="1" t="e">
        <f t="shared" ca="1" si="1"/>
        <v>#VALUE!</v>
      </c>
      <c r="D7" s="1" t="str">
        <f ca="1">INDEX(検索語句!A:A,MATCH(SMALL(検索語句!I:I,A7),検索語句!I:I,0),1)</f>
        <v>ブドウ糖30%</v>
      </c>
      <c r="E7" s="1" t="e">
        <f t="shared" ca="1" si="2"/>
        <v>#N/A</v>
      </c>
      <c r="G7" t="s">
        <v>548</v>
      </c>
      <c r="J7" t="s">
        <v>1014</v>
      </c>
      <c r="L7" t="s">
        <v>1021</v>
      </c>
    </row>
    <row r="8" spans="1:12">
      <c r="A8" s="1">
        <v>5</v>
      </c>
      <c r="B8" s="1" t="e">
        <f t="shared" ca="1" si="0"/>
        <v>#VALUE!</v>
      </c>
      <c r="C8" s="1" t="e">
        <f t="shared" ca="1" si="1"/>
        <v>#VALUE!</v>
      </c>
      <c r="D8" s="1" t="str">
        <f ca="1">INDEX(検索語句!A:A,MATCH(SMALL(検索語句!I:I,A8),検索語句!I:I,0),1)</f>
        <v>ブドウ糖50%</v>
      </c>
      <c r="E8" s="1" t="e">
        <f t="shared" ca="1" si="2"/>
        <v>#N/A</v>
      </c>
      <c r="G8" t="s">
        <v>550</v>
      </c>
    </row>
    <row r="9" spans="1:12">
      <c r="A9" s="1">
        <v>6</v>
      </c>
      <c r="B9" s="1" t="e">
        <f t="shared" ca="1" si="0"/>
        <v>#VALUE!</v>
      </c>
      <c r="C9" s="1" t="e">
        <f t="shared" ca="1" si="1"/>
        <v>#VALUE!</v>
      </c>
      <c r="D9" s="1" t="str">
        <f ca="1">INDEX(検索語句!A:A,MATCH(SMALL(検索語句!I:I,A9),検索語句!I:I,0),1)</f>
        <v>ブドウ糖70%</v>
      </c>
      <c r="E9" s="1" t="e">
        <f t="shared" ca="1" si="2"/>
        <v>#N/A</v>
      </c>
      <c r="G9" t="s">
        <v>542</v>
      </c>
    </row>
    <row r="10" spans="1:12">
      <c r="A10" s="1">
        <v>7</v>
      </c>
      <c r="B10" s="1" t="e">
        <f t="shared" ca="1" si="0"/>
        <v>#VALUE!</v>
      </c>
      <c r="C10" s="1" t="e">
        <f t="shared" ca="1" si="1"/>
        <v>#VALUE!</v>
      </c>
      <c r="D10" s="1" t="str">
        <f ca="1">INDEX(検索語句!A:A,MATCH(SMALL(検索語句!I:I,A10),検索語句!I:I,0),1)</f>
        <v>フィジオ70輸液</v>
      </c>
      <c r="E10" s="1" t="e">
        <f t="shared" ca="1" si="2"/>
        <v>#N/A</v>
      </c>
      <c r="G10" t="s">
        <v>1197</v>
      </c>
    </row>
    <row r="11" spans="1:12">
      <c r="A11" s="1">
        <v>8</v>
      </c>
      <c r="B11" s="1" t="e">
        <f t="shared" ca="1" si="0"/>
        <v>#VALUE!</v>
      </c>
      <c r="C11" s="1" t="e">
        <f t="shared" ca="1" si="1"/>
        <v>#VALUE!</v>
      </c>
      <c r="D11" s="1" t="str">
        <f ca="1">INDEX(検索語句!A:A,MATCH(SMALL(検索語句!I:I,A11),検索語句!I:I,0),1)</f>
        <v>フィジオ140輸液</v>
      </c>
      <c r="E11" s="1" t="e">
        <f t="shared" ca="1" si="2"/>
        <v>#N/A</v>
      </c>
      <c r="G11" t="s">
        <v>552</v>
      </c>
    </row>
    <row r="12" spans="1:12">
      <c r="A12" s="1">
        <v>9</v>
      </c>
      <c r="B12" s="1" t="e">
        <f t="shared" ca="1" si="0"/>
        <v>#VALUE!</v>
      </c>
      <c r="C12" s="1" t="e">
        <f t="shared" ca="1" si="1"/>
        <v>#VALUE!</v>
      </c>
      <c r="D12" s="1" t="str">
        <f ca="1">INDEX(検索語句!A:A,MATCH(SMALL(検索語句!I:I,A12),検索語句!I:I,0),1)</f>
        <v>アスパラK注10mEq</v>
      </c>
      <c r="E12" s="1" t="e">
        <f t="shared" ca="1" si="2"/>
        <v>#N/A</v>
      </c>
      <c r="G12" t="s">
        <v>554</v>
      </c>
    </row>
    <row r="13" spans="1:12">
      <c r="A13" s="1">
        <v>10</v>
      </c>
      <c r="B13" s="1" t="e">
        <f t="shared" ca="1" si="0"/>
        <v>#VALUE!</v>
      </c>
      <c r="C13" s="1" t="e">
        <f t="shared" ca="1" si="1"/>
        <v>#VALUE!</v>
      </c>
      <c r="D13" s="1" t="str">
        <f ca="1">INDEX(検索語句!A:A,MATCH(SMALL(検索語句!I:I,A13),検索語句!I:I,0),1)</f>
        <v>塩化ナトリウム10%</v>
      </c>
      <c r="E13" s="1" t="e">
        <f t="shared" ca="1" si="2"/>
        <v>#N/A</v>
      </c>
      <c r="G13" t="s">
        <v>538</v>
      </c>
    </row>
    <row r="14" spans="1:12">
      <c r="A14" s="1">
        <v>11</v>
      </c>
      <c r="B14" s="1" t="e">
        <f t="shared" ca="1" si="0"/>
        <v>#VALUE!</v>
      </c>
      <c r="C14" s="1" t="e">
        <f t="shared" ca="1" si="1"/>
        <v>#VALUE!</v>
      </c>
      <c r="D14" s="1" t="str">
        <f ca="1">INDEX(検索語句!A:A,MATCH(SMALL(検索語句!I:I,A14),検索語句!I:I,0),1)</f>
        <v>マルトース(果糖)10%</v>
      </c>
      <c r="E14" s="1" t="e">
        <f t="shared" ca="1" si="2"/>
        <v>#N/A</v>
      </c>
      <c r="G14" t="s">
        <v>539</v>
      </c>
    </row>
    <row r="15" spans="1:12">
      <c r="A15" s="1">
        <v>12</v>
      </c>
      <c r="B15" s="1" t="e">
        <f t="shared" ca="1" si="0"/>
        <v>#VALUE!</v>
      </c>
      <c r="C15" s="1" t="e">
        <f t="shared" ca="1" si="1"/>
        <v>#VALUE!</v>
      </c>
      <c r="D15" s="1" t="str">
        <f ca="1">INDEX(検索語句!A:A,MATCH(SMALL(検索語句!I:I,A15),検索語句!I:I,0),1)</f>
        <v>KCL補正液キット20mEq</v>
      </c>
      <c r="E15" s="1" t="e">
        <f t="shared" ca="1" si="2"/>
        <v>#N/A</v>
      </c>
      <c r="G15" t="s">
        <v>543</v>
      </c>
    </row>
    <row r="16" spans="1:12">
      <c r="A16" s="1">
        <v>13</v>
      </c>
      <c r="B16" s="1" t="e">
        <f t="shared" ca="1" si="0"/>
        <v>#VALUE!</v>
      </c>
      <c r="C16" s="1" t="e">
        <f t="shared" ca="1" si="1"/>
        <v>#VALUE!</v>
      </c>
      <c r="D16" s="1" t="str">
        <f ca="1">INDEX(検索語句!A:A,MATCH(SMALL(検索語句!I:I,A16),検索語句!I:I,0),1)</f>
        <v>リン酸Na補正液 (0.5mmol/ml)</v>
      </c>
      <c r="E16" s="1" t="e">
        <f t="shared" ca="1" si="2"/>
        <v>#N/A</v>
      </c>
      <c r="G16" t="s">
        <v>540</v>
      </c>
    </row>
    <row r="17" spans="1:5">
      <c r="A17" s="1">
        <v>14</v>
      </c>
      <c r="B17" s="1" t="e">
        <f t="shared" ca="1" si="0"/>
        <v>#VALUE!</v>
      </c>
      <c r="C17" s="1" t="e">
        <f t="shared" ca="1" si="1"/>
        <v>#VALUE!</v>
      </c>
      <c r="D17" s="1" t="str">
        <f ca="1">INDEX(検索語句!A:A,MATCH(SMALL(検索語句!I:I,A17),検索語句!I:I,0),1)</f>
        <v>イントラリポス輸液10%</v>
      </c>
      <c r="E17" s="1" t="e">
        <f t="shared" ca="1" si="2"/>
        <v>#N/A</v>
      </c>
    </row>
    <row r="18" spans="1:5">
      <c r="A18" s="1">
        <v>15</v>
      </c>
      <c r="B18" s="1" t="e">
        <f t="shared" ca="1" si="0"/>
        <v>#VALUE!</v>
      </c>
      <c r="C18" s="1" t="e">
        <f t="shared" ca="1" si="1"/>
        <v>#VALUE!</v>
      </c>
      <c r="D18" s="1" t="str">
        <f ca="1">INDEX(検索語句!A:A,MATCH(SMALL(検索語句!I:I,A18),検索語句!I:I,0),1)</f>
        <v>イントラリポス輸液20%</v>
      </c>
      <c r="E18" s="1" t="e">
        <f t="shared" ca="1" si="2"/>
        <v>#N/A</v>
      </c>
    </row>
    <row r="19" spans="1:5">
      <c r="A19" s="1">
        <v>16</v>
      </c>
      <c r="B19" s="1" t="e">
        <f t="shared" ca="1" si="0"/>
        <v>#VALUE!</v>
      </c>
      <c r="C19" s="1" t="e">
        <f t="shared" ca="1" si="1"/>
        <v>#VALUE!</v>
      </c>
      <c r="D19" s="1" t="str">
        <f ca="1">INDEX(検索語句!A:A,MATCH(SMALL(検索語句!I:I,A19),検索語句!I:I,0),1)</f>
        <v>母乳＋HMS-2 (60ml/包)</v>
      </c>
      <c r="E19" s="1" t="e">
        <f t="shared" ca="1" si="2"/>
        <v>#N/A</v>
      </c>
    </row>
    <row r="20" spans="1:5">
      <c r="A20" s="1">
        <v>17</v>
      </c>
      <c r="B20" s="1" t="e">
        <f t="shared" ca="1" si="0"/>
        <v>#VALUE!</v>
      </c>
      <c r="C20" s="1" t="e">
        <f t="shared" ca="1" si="1"/>
        <v>#VALUE!</v>
      </c>
      <c r="D20" s="1" t="str">
        <f ca="1">INDEX(検索語句!A:A,MATCH(SMALL(検索語句!I:I,A20),検索語句!I:I,0),1)</f>
        <v>母乳＋HMS-2 (30ml/包)</v>
      </c>
      <c r="E20" s="1" t="e">
        <f t="shared" ca="1" si="2"/>
        <v>#N/A</v>
      </c>
    </row>
    <row r="21" spans="1:5">
      <c r="A21" s="1">
        <v>18</v>
      </c>
      <c r="B21" s="1" t="e">
        <f t="shared" ca="1" si="0"/>
        <v>#VALUE!</v>
      </c>
      <c r="C21" s="1" t="e">
        <f t="shared" ca="1" si="1"/>
        <v>#VALUE!</v>
      </c>
      <c r="D21" s="1" t="str">
        <f ca="1">INDEX(検索語句!A:A,MATCH(SMALL(検索語句!I:I,A21),検索語句!I:I,0),1)</f>
        <v>アイクレオLBW (30%)</v>
      </c>
      <c r="E21" s="1" t="e">
        <f t="shared" ca="1" si="2"/>
        <v>#N/A</v>
      </c>
    </row>
    <row r="22" spans="1:5">
      <c r="A22" s="1">
        <v>19</v>
      </c>
      <c r="B22" s="1" t="e">
        <f t="shared" ca="1" si="0"/>
        <v>#VALUE!</v>
      </c>
      <c r="C22" s="1" t="e">
        <f t="shared" ca="1" si="1"/>
        <v>#VALUE!</v>
      </c>
      <c r="D22" s="1" t="str">
        <f ca="1">INDEX(検索語句!A:A,MATCH(SMALL(検索語句!I:I,A22),検索語句!I:I,0),1)</f>
        <v>フルカリック1号輸液 (903ml/容器)</v>
      </c>
      <c r="E22" s="1" t="e">
        <f t="shared" ca="1" si="2"/>
        <v>#N/A</v>
      </c>
    </row>
    <row r="23" spans="1:5">
      <c r="A23" s="1">
        <v>20</v>
      </c>
      <c r="B23" s="1" t="e">
        <f t="shared" ca="1" si="0"/>
        <v>#VALUE!</v>
      </c>
      <c r="C23" s="1" t="e">
        <f t="shared" ca="1" si="1"/>
        <v>#VALUE!</v>
      </c>
      <c r="D23" s="1" t="str">
        <f ca="1">INDEX(検索語句!A:A,MATCH(SMALL(検索語句!I:I,A23),検索語句!I:I,0),1)</f>
        <v>フルカリック2号輸液 (1003ml/容器)</v>
      </c>
      <c r="E23" s="1" t="e">
        <f t="shared" ca="1" si="2"/>
        <v>#N/A</v>
      </c>
    </row>
    <row r="24" spans="1:5">
      <c r="A24" s="1">
        <v>21</v>
      </c>
      <c r="B24" s="1" t="e">
        <f t="shared" ca="1" si="0"/>
        <v>#VALUE!</v>
      </c>
      <c r="C24" s="1" t="e">
        <f t="shared" ca="1" si="1"/>
        <v>#VALUE!</v>
      </c>
      <c r="D24" s="1" t="str">
        <f ca="1">INDEX(検索語句!A:A,MATCH(SMALL(検索語句!I:I,A24),検索語句!I:I,0),1)</f>
        <v>ケイツーN (mg) (10mg/2ml/A)</v>
      </c>
      <c r="E24" s="1" t="e">
        <f t="shared" ca="1" si="2"/>
        <v>#N/A</v>
      </c>
    </row>
    <row r="25" spans="1:5">
      <c r="A25" s="1">
        <v>22</v>
      </c>
      <c r="B25" s="1" t="e">
        <f t="shared" ca="1" si="0"/>
        <v>#VALUE!</v>
      </c>
      <c r="C25" s="1" t="e">
        <f t="shared" ca="1" si="1"/>
        <v>#VALUE!</v>
      </c>
      <c r="D25" s="1" t="str">
        <f ca="1">INDEX(検索語句!A:A,MATCH(SMALL(検索語句!I:I,A25),検索語句!I:I,0),1)</f>
        <v>フルカリック2号輸液 (1505ml/容器)</v>
      </c>
      <c r="E25" s="1" t="e">
        <f t="shared" ca="1" si="2"/>
        <v>#N/A</v>
      </c>
    </row>
    <row r="26" spans="1:5">
      <c r="A26" s="1">
        <v>23</v>
      </c>
      <c r="B26" s="1" t="e">
        <f t="shared" ca="1" si="0"/>
        <v>#VALUE!</v>
      </c>
      <c r="C26" s="1" t="e">
        <f t="shared" ca="1" si="1"/>
        <v>#VALUE!</v>
      </c>
      <c r="D26" s="1" t="str">
        <f ca="1">INDEX(検索語句!A:A,MATCH(SMALL(検索語句!I:I,A26),検索語句!I:I,0),1)</f>
        <v>フルカリック3号輸液 (1103ml/容器)</v>
      </c>
      <c r="E26" s="1" t="e">
        <f t="shared" ca="1" si="2"/>
        <v>#N/A</v>
      </c>
    </row>
    <row r="27" spans="1:5">
      <c r="A27" s="1">
        <v>24</v>
      </c>
      <c r="B27" s="1" t="e">
        <f t="shared" ca="1" si="0"/>
        <v>#VALUE!</v>
      </c>
      <c r="C27" s="1" t="e">
        <f t="shared" ca="1" si="1"/>
        <v>#VALUE!</v>
      </c>
      <c r="D27" s="1" t="str">
        <f ca="1">INDEX(検索語句!A:A,MATCH(SMALL(検索語句!I:I,A27),検索語句!I:I,0),1)</f>
        <v>エレンタール (g) (1包80g)</v>
      </c>
      <c r="E27" s="1" t="e">
        <f t="shared" ca="1" si="2"/>
        <v>#N/A</v>
      </c>
    </row>
    <row r="28" spans="1:5">
      <c r="A28" s="1">
        <v>25</v>
      </c>
      <c r="B28" s="1" t="e">
        <f t="shared" ca="1" si="0"/>
        <v>#VALUE!</v>
      </c>
      <c r="C28" s="1" t="e">
        <f t="shared" ca="1" si="1"/>
        <v>#VALUE!</v>
      </c>
      <c r="D28" s="1" t="str">
        <f ca="1">INDEX(検索語句!A:A,MATCH(SMALL(検索語句!I:I,A28),検索語句!I:I,0),1)</f>
        <v>エレンタールP (g) (1包40g・80g)</v>
      </c>
      <c r="E28" s="1" t="e">
        <f t="shared" ca="1" si="2"/>
        <v>#N/A</v>
      </c>
    </row>
    <row r="29" spans="1:5">
      <c r="A29" s="1">
        <v>26</v>
      </c>
      <c r="B29" s="1" t="e">
        <f t="shared" ca="1" si="0"/>
        <v>#VALUE!</v>
      </c>
      <c r="C29" s="1" t="e">
        <f t="shared" ca="1" si="1"/>
        <v>#VALUE!</v>
      </c>
      <c r="D29" s="1" t="str">
        <f ca="1">INDEX(検索語句!A:A,MATCH(SMALL(検索語句!I:I,A29),検索語句!I:I,0),1)</f>
        <v>ソリタT2顆粒 (ml) (1包/水100ml)</v>
      </c>
      <c r="E29" s="1" t="e">
        <f t="shared" ca="1" si="2"/>
        <v>#N/A</v>
      </c>
    </row>
    <row r="30" spans="1:5">
      <c r="A30" s="1">
        <v>27</v>
      </c>
      <c r="B30" s="1" t="e">
        <f t="shared" ca="1" si="0"/>
        <v>#VALUE!</v>
      </c>
      <c r="C30" s="1" t="e">
        <f t="shared" ca="1" si="1"/>
        <v>#VALUE!</v>
      </c>
      <c r="D30" s="1" t="str">
        <f ca="1">INDEX(検索語句!A:A,MATCH(SMALL(検索語句!I:I,A30),検索語句!I:I,0),1)</f>
        <v>ソリタT3顆粒 (ml) (1包/水100ml)</v>
      </c>
      <c r="E30" s="1" t="e">
        <f t="shared" ca="1" si="2"/>
        <v>#N/A</v>
      </c>
    </row>
    <row r="31" spans="1:5">
      <c r="A31" s="1">
        <v>28</v>
      </c>
      <c r="B31" s="1" t="e">
        <f t="shared" ca="1" si="0"/>
        <v>#VALUE!</v>
      </c>
      <c r="C31" s="1" t="e">
        <f t="shared" ca="1" si="1"/>
        <v>#VALUE!</v>
      </c>
      <c r="D31" s="1" t="e">
        <f ca="1">INDEX(検索語句!A:A,MATCH(SMALL(検索語句!I:I,A31),検索語句!I:I,0),1)</f>
        <v>#NUM!</v>
      </c>
      <c r="E31" s="1" t="e">
        <f t="shared" ca="1" si="2"/>
        <v>#N/A</v>
      </c>
    </row>
    <row r="32" spans="1:5">
      <c r="A32" s="1">
        <v>29</v>
      </c>
      <c r="B32" s="1" t="e">
        <f t="shared" ca="1" si="0"/>
        <v>#VALUE!</v>
      </c>
      <c r="C32" s="1" t="e">
        <f t="shared" ca="1" si="1"/>
        <v>#VALUE!</v>
      </c>
      <c r="D32" s="1" t="e">
        <f ca="1">INDEX(検索語句!A:A,MATCH(SMALL(検索語句!I:I,A32),検索語句!I:I,0),1)</f>
        <v>#NUM!</v>
      </c>
      <c r="E32" s="1" t="e">
        <f t="shared" ca="1" si="2"/>
        <v>#N/A</v>
      </c>
    </row>
    <row r="33" spans="1:5">
      <c r="A33" s="1">
        <v>30</v>
      </c>
      <c r="B33" s="1" t="e">
        <f t="shared" ca="1" si="0"/>
        <v>#VALUE!</v>
      </c>
      <c r="C33" s="1" t="e">
        <f t="shared" ca="1" si="1"/>
        <v>#VALUE!</v>
      </c>
      <c r="D33" s="1" t="e">
        <f ca="1">INDEX(検索語句!A:A,MATCH(SMALL(検索語句!I:I,A33),検索語句!I:I,0),1)</f>
        <v>#NUM!</v>
      </c>
      <c r="E33" s="1" t="e">
        <f t="shared" ca="1" si="2"/>
        <v>#N/A</v>
      </c>
    </row>
    <row r="34" spans="1:5">
      <c r="A34" s="1">
        <v>31</v>
      </c>
      <c r="B34" s="1" t="e">
        <f t="shared" ca="1" si="0"/>
        <v>#VALUE!</v>
      </c>
      <c r="C34" s="1" t="e">
        <f t="shared" ca="1" si="1"/>
        <v>#VALUE!</v>
      </c>
      <c r="D34" s="1" t="e">
        <f ca="1">INDEX(検索語句!A:A,MATCH(SMALL(検索語句!I:I,A34),検索語句!I:I,0),1)</f>
        <v>#NUM!</v>
      </c>
      <c r="E34" s="1" t="e">
        <f t="shared" ca="1" si="2"/>
        <v>#N/A</v>
      </c>
    </row>
    <row r="35" spans="1:5">
      <c r="A35" s="1">
        <v>32</v>
      </c>
      <c r="B35" s="1" t="e">
        <f t="shared" ca="1" si="0"/>
        <v>#VALUE!</v>
      </c>
      <c r="C35" s="1" t="e">
        <f t="shared" ca="1" si="1"/>
        <v>#VALUE!</v>
      </c>
      <c r="D35" s="1" t="e">
        <f ca="1">INDEX(検索語句!A:A,MATCH(SMALL(検索語句!I:I,A35),検索語句!I:I,0),1)</f>
        <v>#NUM!</v>
      </c>
      <c r="E35" s="1" t="e">
        <f t="shared" ca="1" si="2"/>
        <v>#N/A</v>
      </c>
    </row>
    <row r="36" spans="1:5">
      <c r="A36" s="1">
        <v>33</v>
      </c>
      <c r="B36" s="1" t="e">
        <f t="shared" ca="1" si="0"/>
        <v>#VALUE!</v>
      </c>
      <c r="C36" s="1" t="e">
        <f t="shared" ca="1" si="1"/>
        <v>#VALUE!</v>
      </c>
      <c r="D36" s="1" t="e">
        <f ca="1">INDEX(検索語句!A:A,MATCH(SMALL(検索語句!I:I,A36),検索語句!I:I,0),1)</f>
        <v>#NUM!</v>
      </c>
      <c r="E36" s="1" t="e">
        <f t="shared" ca="1" si="2"/>
        <v>#N/A</v>
      </c>
    </row>
    <row r="37" spans="1:5">
      <c r="A37" s="1">
        <v>34</v>
      </c>
      <c r="B37" s="1" t="e">
        <f t="shared" ca="1" si="0"/>
        <v>#VALUE!</v>
      </c>
      <c r="C37" s="1" t="e">
        <f t="shared" ca="1" si="1"/>
        <v>#VALUE!</v>
      </c>
      <c r="D37" s="1" t="e">
        <f ca="1">INDEX(検索語句!A:A,MATCH(SMALL(検索語句!I:I,A37),検索語句!I:I,0),1)</f>
        <v>#NUM!</v>
      </c>
      <c r="E37" s="1" t="e">
        <f t="shared" ca="1" si="2"/>
        <v>#N/A</v>
      </c>
    </row>
    <row r="38" spans="1:5">
      <c r="A38" s="1">
        <v>35</v>
      </c>
      <c r="B38" s="1" t="e">
        <f t="shared" ca="1" si="0"/>
        <v>#VALUE!</v>
      </c>
      <c r="C38" s="1" t="e">
        <f t="shared" ca="1" si="1"/>
        <v>#VALUE!</v>
      </c>
      <c r="D38" s="1" t="e">
        <f ca="1">INDEX(検索語句!A:A,MATCH(SMALL(検索語句!I:I,A38),検索語句!I:I,0),1)</f>
        <v>#NUM!</v>
      </c>
      <c r="E38" s="1" t="e">
        <f t="shared" ca="1" si="2"/>
        <v>#N/A</v>
      </c>
    </row>
    <row r="39" spans="1:5">
      <c r="A39" s="1">
        <v>36</v>
      </c>
      <c r="B39" s="1" t="e">
        <f t="shared" ca="1" si="0"/>
        <v>#VALUE!</v>
      </c>
      <c r="C39" s="1" t="e">
        <f t="shared" ca="1" si="1"/>
        <v>#VALUE!</v>
      </c>
      <c r="D39" s="1" t="e">
        <f ca="1">INDEX(検索語句!A:A,MATCH(SMALL(検索語句!I:I,A39),検索語句!I:I,0),1)</f>
        <v>#NUM!</v>
      </c>
      <c r="E39" s="1" t="e">
        <f t="shared" ca="1" si="2"/>
        <v>#N/A</v>
      </c>
    </row>
    <row r="40" spans="1:5">
      <c r="A40" s="1">
        <v>37</v>
      </c>
      <c r="B40" s="1" t="e">
        <f t="shared" ca="1" si="0"/>
        <v>#VALUE!</v>
      </c>
      <c r="C40" s="1" t="e">
        <f t="shared" ca="1" si="1"/>
        <v>#VALUE!</v>
      </c>
      <c r="D40" s="1" t="e">
        <f ca="1">INDEX(検索語句!A:A,MATCH(SMALL(検索語句!I:I,A40),検索語句!I:I,0),1)</f>
        <v>#NUM!</v>
      </c>
      <c r="E40" s="1" t="e">
        <f t="shared" ca="1" si="2"/>
        <v>#N/A</v>
      </c>
    </row>
    <row r="41" spans="1:5">
      <c r="A41" s="1">
        <v>38</v>
      </c>
      <c r="B41" s="1" t="e">
        <f t="shared" ca="1" si="0"/>
        <v>#VALUE!</v>
      </c>
      <c r="C41" s="1" t="e">
        <f t="shared" ca="1" si="1"/>
        <v>#VALUE!</v>
      </c>
      <c r="D41" s="1" t="e">
        <f ca="1">INDEX(検索語句!A:A,MATCH(SMALL(検索語句!I:I,A41),検索語句!I:I,0),1)</f>
        <v>#NUM!</v>
      </c>
      <c r="E41" s="1" t="e">
        <f t="shared" ca="1" si="2"/>
        <v>#N/A</v>
      </c>
    </row>
    <row r="42" spans="1:5">
      <c r="A42" s="1">
        <v>39</v>
      </c>
      <c r="B42" s="1" t="e">
        <f t="shared" ca="1" si="0"/>
        <v>#VALUE!</v>
      </c>
      <c r="C42" s="1" t="e">
        <f t="shared" ca="1" si="1"/>
        <v>#VALUE!</v>
      </c>
      <c r="D42" s="1" t="e">
        <f ca="1">INDEX(検索語句!A:A,MATCH(SMALL(検索語句!I:I,A42),検索語句!I:I,0),1)</f>
        <v>#NUM!</v>
      </c>
      <c r="E42" s="1" t="e">
        <f t="shared" ca="1" si="2"/>
        <v>#N/A</v>
      </c>
    </row>
    <row r="43" spans="1:5">
      <c r="A43" s="1">
        <v>40</v>
      </c>
      <c r="B43" s="1" t="e">
        <f t="shared" ca="1" si="0"/>
        <v>#VALUE!</v>
      </c>
      <c r="C43" s="1" t="e">
        <f t="shared" ca="1" si="1"/>
        <v>#VALUE!</v>
      </c>
      <c r="D43" s="1" t="e">
        <f ca="1">INDEX(検索語句!A:A,MATCH(SMALL(検索語句!I:I,A43),検索語句!I:I,0),1)</f>
        <v>#NUM!</v>
      </c>
      <c r="E43" s="1" t="e">
        <f t="shared" ca="1" si="2"/>
        <v>#N/A</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P229"/>
  <sheetViews>
    <sheetView workbookViewId="0">
      <pane xSplit="1" ySplit="2" topLeftCell="B3" activePane="bottomRight" state="frozen"/>
      <selection pane="topRight" activeCell="B1" sqref="B1"/>
      <selection pane="bottomLeft" activeCell="A3" sqref="A3"/>
      <selection pane="bottomRight"/>
    </sheetView>
  </sheetViews>
  <sheetFormatPr defaultRowHeight="13.5"/>
  <cols>
    <col min="1" max="1" width="27.5" customWidth="1"/>
  </cols>
  <sheetData>
    <row r="1" spans="1:16">
      <c r="B1" s="5">
        <f ca="1">リスト!D3</f>
        <v>0</v>
      </c>
    </row>
    <row r="2" spans="1:16">
      <c r="A2" t="s">
        <v>0</v>
      </c>
      <c r="B2" t="s">
        <v>392</v>
      </c>
      <c r="C2" t="s">
        <v>393</v>
      </c>
      <c r="D2" t="s">
        <v>394</v>
      </c>
      <c r="E2" t="s">
        <v>395</v>
      </c>
      <c r="F2" t="s">
        <v>396</v>
      </c>
      <c r="G2" t="s">
        <v>397</v>
      </c>
      <c r="I2" t="s">
        <v>535</v>
      </c>
      <c r="J2" t="s">
        <v>0</v>
      </c>
      <c r="K2" t="s">
        <v>392</v>
      </c>
      <c r="L2" t="s">
        <v>393</v>
      </c>
      <c r="M2" t="s">
        <v>394</v>
      </c>
      <c r="N2" t="s">
        <v>395</v>
      </c>
      <c r="O2" t="s">
        <v>396</v>
      </c>
      <c r="P2" t="s">
        <v>397</v>
      </c>
    </row>
    <row r="3" spans="1:16" ht="14.25">
      <c r="A3" t="s">
        <v>75</v>
      </c>
      <c r="B3" t="s">
        <v>398</v>
      </c>
      <c r="C3" t="s">
        <v>643</v>
      </c>
      <c r="D3" t="s">
        <v>773</v>
      </c>
      <c r="F3" t="s">
        <v>525</v>
      </c>
      <c r="G3" t="s">
        <v>1137</v>
      </c>
      <c r="I3" s="4" t="str">
        <f ca="1">IF(MAX(J3:P3)=0,"",MIN(J3:P3)*1000+ROW())</f>
        <v/>
      </c>
      <c r="J3" s="4" t="str">
        <f ca="1">IF(ISERROR(SEARCH($B$1,A3)),"",SEARCH($B$1,A3))</f>
        <v/>
      </c>
      <c r="K3" s="4" t="str">
        <f t="shared" ref="K3:K66" ca="1" si="0">IF(ISERROR(SEARCH($B$1,B3)),"",SEARCH($B$1,B3))</f>
        <v/>
      </c>
      <c r="L3" s="4" t="str">
        <f t="shared" ref="L3:L66" ca="1" si="1">IF(ISERROR(SEARCH($B$1,C3)),"",SEARCH($B$1,C3))</f>
        <v/>
      </c>
      <c r="M3" s="4" t="str">
        <f t="shared" ref="M3:M66" ca="1" si="2">IF(ISERROR(SEARCH($B$1,D3)),"",SEARCH($B$1,D3))</f>
        <v/>
      </c>
      <c r="N3" s="4" t="str">
        <f t="shared" ref="N3:N66" ca="1" si="3">IF(ISERROR(SEARCH($B$1,E3)),"",SEARCH($B$1,E3))</f>
        <v/>
      </c>
      <c r="O3" s="4" t="str">
        <f t="shared" ref="O3:O66" ca="1" si="4">IF(ISERROR(SEARCH($B$1,F3)),"",SEARCH($B$1,F3))</f>
        <v/>
      </c>
      <c r="P3" s="4" t="str">
        <f t="shared" ref="P3:P66" ca="1" si="5">IF(ISERROR(SEARCH($B$1,G3)),"",SEARCH($B$1,G3))</f>
        <v/>
      </c>
    </row>
    <row r="4" spans="1:16" ht="14.25">
      <c r="A4" t="s">
        <v>79</v>
      </c>
      <c r="B4" t="s">
        <v>399</v>
      </c>
      <c r="C4" t="s">
        <v>644</v>
      </c>
      <c r="D4" t="s">
        <v>773</v>
      </c>
      <c r="F4" t="s">
        <v>525</v>
      </c>
      <c r="G4" t="s">
        <v>1137</v>
      </c>
      <c r="I4" s="4">
        <f t="shared" ref="I4:I67" ca="1" si="6">IF(MAX(J4:P4)=0,"",MIN(J4:P4)*1000+ROW())</f>
        <v>6004</v>
      </c>
      <c r="J4" s="4">
        <f t="shared" ref="J4:J67" ca="1" si="7">IF(ISERROR(SEARCH($B$1,A4)),"",SEARCH($B$1,A4))</f>
        <v>6</v>
      </c>
      <c r="K4" s="4" t="str">
        <f t="shared" ca="1" si="0"/>
        <v/>
      </c>
      <c r="L4" s="4">
        <f t="shared" ca="1" si="1"/>
        <v>10</v>
      </c>
      <c r="M4" s="4" t="str">
        <f t="shared" ca="1" si="2"/>
        <v/>
      </c>
      <c r="N4" s="4" t="str">
        <f t="shared" ca="1" si="3"/>
        <v/>
      </c>
      <c r="O4" s="4" t="str">
        <f t="shared" ca="1" si="4"/>
        <v/>
      </c>
      <c r="P4" s="4" t="str">
        <f t="shared" ca="1" si="5"/>
        <v/>
      </c>
    </row>
    <row r="5" spans="1:16" ht="14.25">
      <c r="A5" t="s">
        <v>81</v>
      </c>
      <c r="B5" t="s">
        <v>400</v>
      </c>
      <c r="C5" t="s">
        <v>645</v>
      </c>
      <c r="D5" t="s">
        <v>773</v>
      </c>
      <c r="F5" t="s">
        <v>525</v>
      </c>
      <c r="G5" t="s">
        <v>1137</v>
      </c>
      <c r="I5" s="4">
        <f t="shared" ca="1" si="6"/>
        <v>6005</v>
      </c>
      <c r="J5" s="4">
        <f t="shared" ca="1" si="7"/>
        <v>6</v>
      </c>
      <c r="K5" s="4" t="str">
        <f t="shared" ca="1" si="0"/>
        <v/>
      </c>
      <c r="L5" s="4">
        <f t="shared" ca="1" si="1"/>
        <v>10</v>
      </c>
      <c r="M5" s="4" t="str">
        <f t="shared" ca="1" si="2"/>
        <v/>
      </c>
      <c r="N5" s="4" t="str">
        <f t="shared" ca="1" si="3"/>
        <v/>
      </c>
      <c r="O5" s="4" t="str">
        <f t="shared" ca="1" si="4"/>
        <v/>
      </c>
      <c r="P5" s="4" t="str">
        <f t="shared" ca="1" si="5"/>
        <v/>
      </c>
    </row>
    <row r="6" spans="1:16" ht="14.25">
      <c r="A6" t="s">
        <v>83</v>
      </c>
      <c r="B6" t="s">
        <v>401</v>
      </c>
      <c r="C6" t="s">
        <v>646</v>
      </c>
      <c r="D6" t="s">
        <v>773</v>
      </c>
      <c r="F6" t="s">
        <v>525</v>
      </c>
      <c r="G6" t="s">
        <v>1137</v>
      </c>
      <c r="I6" s="4">
        <f t="shared" ca="1" si="6"/>
        <v>6006</v>
      </c>
      <c r="J6" s="4">
        <f t="shared" ca="1" si="7"/>
        <v>6</v>
      </c>
      <c r="K6" s="4" t="str">
        <f t="shared" ca="1" si="0"/>
        <v/>
      </c>
      <c r="L6" s="4">
        <f t="shared" ca="1" si="1"/>
        <v>10</v>
      </c>
      <c r="M6" s="4" t="str">
        <f t="shared" ca="1" si="2"/>
        <v/>
      </c>
      <c r="N6" s="4" t="str">
        <f t="shared" ca="1" si="3"/>
        <v/>
      </c>
      <c r="O6" s="4" t="str">
        <f t="shared" ca="1" si="4"/>
        <v/>
      </c>
      <c r="P6" s="4" t="str">
        <f t="shared" ca="1" si="5"/>
        <v/>
      </c>
    </row>
    <row r="7" spans="1:16" ht="14.25">
      <c r="A7" t="s">
        <v>85</v>
      </c>
      <c r="B7" t="s">
        <v>402</v>
      </c>
      <c r="C7" t="s">
        <v>647</v>
      </c>
      <c r="D7" t="s">
        <v>773</v>
      </c>
      <c r="F7" t="s">
        <v>525</v>
      </c>
      <c r="G7" t="s">
        <v>1137</v>
      </c>
      <c r="I7" s="4">
        <f t="shared" ca="1" si="6"/>
        <v>6007</v>
      </c>
      <c r="J7" s="4">
        <f t="shared" ca="1" si="7"/>
        <v>6</v>
      </c>
      <c r="K7" s="4" t="str">
        <f t="shared" ca="1" si="0"/>
        <v/>
      </c>
      <c r="L7" s="4">
        <f t="shared" ca="1" si="1"/>
        <v>10</v>
      </c>
      <c r="M7" s="4" t="str">
        <f t="shared" ca="1" si="2"/>
        <v/>
      </c>
      <c r="N7" s="4" t="str">
        <f t="shared" ca="1" si="3"/>
        <v/>
      </c>
      <c r="O7" s="4" t="str">
        <f t="shared" ca="1" si="4"/>
        <v/>
      </c>
      <c r="P7" s="4" t="str">
        <f t="shared" ca="1" si="5"/>
        <v/>
      </c>
    </row>
    <row r="8" spans="1:16" ht="14.25">
      <c r="A8" t="s">
        <v>87</v>
      </c>
      <c r="B8" t="s">
        <v>403</v>
      </c>
      <c r="C8" t="s">
        <v>648</v>
      </c>
      <c r="D8" t="s">
        <v>773</v>
      </c>
      <c r="F8" t="s">
        <v>525</v>
      </c>
      <c r="G8" t="s">
        <v>1137</v>
      </c>
      <c r="I8" s="4">
        <f t="shared" ca="1" si="6"/>
        <v>6008</v>
      </c>
      <c r="J8" s="4">
        <f t="shared" ca="1" si="7"/>
        <v>6</v>
      </c>
      <c r="K8" s="4" t="str">
        <f t="shared" ca="1" si="0"/>
        <v/>
      </c>
      <c r="L8" s="4">
        <f t="shared" ca="1" si="1"/>
        <v>10</v>
      </c>
      <c r="M8" s="4" t="str">
        <f t="shared" ca="1" si="2"/>
        <v/>
      </c>
      <c r="N8" s="4" t="str">
        <f t="shared" ca="1" si="3"/>
        <v/>
      </c>
      <c r="O8" s="4" t="str">
        <f t="shared" ca="1" si="4"/>
        <v/>
      </c>
      <c r="P8" s="4" t="str">
        <f t="shared" ca="1" si="5"/>
        <v/>
      </c>
    </row>
    <row r="9" spans="1:16" ht="14.25">
      <c r="A9" t="s">
        <v>89</v>
      </c>
      <c r="B9" t="s">
        <v>404</v>
      </c>
      <c r="C9" t="s">
        <v>649</v>
      </c>
      <c r="I9" s="4">
        <f t="shared" ca="1" si="6"/>
        <v>11009</v>
      </c>
      <c r="J9" s="4">
        <f t="shared" ca="1" si="7"/>
        <v>11</v>
      </c>
      <c r="K9" s="4" t="str">
        <f t="shared" ca="1" si="0"/>
        <v/>
      </c>
      <c r="L9" s="4">
        <f t="shared" ca="1" si="1"/>
        <v>18</v>
      </c>
      <c r="M9" s="4" t="str">
        <f t="shared" ca="1" si="2"/>
        <v/>
      </c>
      <c r="N9" s="4" t="str">
        <f t="shared" ca="1" si="3"/>
        <v/>
      </c>
      <c r="O9" s="4" t="str">
        <f t="shared" ca="1" si="4"/>
        <v/>
      </c>
      <c r="P9" s="4" t="str">
        <f t="shared" ca="1" si="5"/>
        <v/>
      </c>
    </row>
    <row r="10" spans="1:16" ht="14.25">
      <c r="A10" t="s">
        <v>91</v>
      </c>
      <c r="B10" t="s">
        <v>405</v>
      </c>
      <c r="C10" t="s">
        <v>650</v>
      </c>
      <c r="I10" s="4" t="str">
        <f t="shared" ca="1" si="6"/>
        <v/>
      </c>
      <c r="J10" s="4" t="str">
        <f t="shared" ca="1" si="7"/>
        <v/>
      </c>
      <c r="K10" s="4" t="str">
        <f t="shared" ca="1" si="0"/>
        <v/>
      </c>
      <c r="L10" s="4" t="str">
        <f t="shared" ca="1" si="1"/>
        <v/>
      </c>
      <c r="M10" s="4" t="str">
        <f t="shared" ca="1" si="2"/>
        <v/>
      </c>
      <c r="N10" s="4" t="str">
        <f t="shared" ca="1" si="3"/>
        <v/>
      </c>
      <c r="O10" s="4" t="str">
        <f t="shared" ca="1" si="4"/>
        <v/>
      </c>
      <c r="P10" s="4" t="str">
        <f t="shared" ca="1" si="5"/>
        <v/>
      </c>
    </row>
    <row r="11" spans="1:16" ht="14.25">
      <c r="I11" s="4" t="str">
        <f t="shared" ca="1" si="6"/>
        <v/>
      </c>
      <c r="J11" s="4" t="str">
        <f t="shared" ca="1" si="7"/>
        <v/>
      </c>
      <c r="K11" s="4" t="str">
        <f t="shared" ca="1" si="0"/>
        <v/>
      </c>
      <c r="L11" s="4" t="str">
        <f t="shared" ca="1" si="1"/>
        <v/>
      </c>
      <c r="M11" s="4" t="str">
        <f t="shared" ca="1" si="2"/>
        <v/>
      </c>
      <c r="N11" s="4" t="str">
        <f t="shared" ca="1" si="3"/>
        <v/>
      </c>
      <c r="O11" s="4" t="str">
        <f t="shared" ca="1" si="4"/>
        <v/>
      </c>
      <c r="P11" s="4" t="str">
        <f t="shared" ca="1" si="5"/>
        <v/>
      </c>
    </row>
    <row r="12" spans="1:16" ht="14.25">
      <c r="A12" t="s">
        <v>93</v>
      </c>
      <c r="B12" t="s">
        <v>406</v>
      </c>
      <c r="C12" t="s">
        <v>651</v>
      </c>
      <c r="D12" t="s">
        <v>526</v>
      </c>
      <c r="I12" s="4" t="str">
        <f t="shared" ca="1" si="6"/>
        <v/>
      </c>
      <c r="J12" s="4" t="str">
        <f t="shared" ca="1" si="7"/>
        <v/>
      </c>
      <c r="K12" s="4" t="str">
        <f t="shared" ca="1" si="0"/>
        <v/>
      </c>
      <c r="L12" s="4" t="str">
        <f t="shared" ca="1" si="1"/>
        <v/>
      </c>
      <c r="M12" s="4" t="str">
        <f t="shared" ca="1" si="2"/>
        <v/>
      </c>
      <c r="N12" s="4" t="str">
        <f t="shared" ca="1" si="3"/>
        <v/>
      </c>
      <c r="O12" s="4" t="str">
        <f t="shared" ca="1" si="4"/>
        <v/>
      </c>
      <c r="P12" s="4" t="str">
        <f t="shared" ca="1" si="5"/>
        <v/>
      </c>
    </row>
    <row r="13" spans="1:16" ht="14.25">
      <c r="A13" t="s">
        <v>95</v>
      </c>
      <c r="B13" t="s">
        <v>407</v>
      </c>
      <c r="C13" t="s">
        <v>652</v>
      </c>
      <c r="I13" s="4" t="str">
        <f t="shared" ca="1" si="6"/>
        <v/>
      </c>
      <c r="J13" s="4" t="str">
        <f t="shared" ca="1" si="7"/>
        <v/>
      </c>
      <c r="K13" s="4" t="str">
        <f t="shared" ca="1" si="0"/>
        <v/>
      </c>
      <c r="L13" s="4" t="str">
        <f t="shared" ca="1" si="1"/>
        <v/>
      </c>
      <c r="M13" s="4" t="str">
        <f t="shared" ca="1" si="2"/>
        <v/>
      </c>
      <c r="N13" s="4" t="str">
        <f t="shared" ca="1" si="3"/>
        <v/>
      </c>
      <c r="O13" s="4" t="str">
        <f t="shared" ca="1" si="4"/>
        <v/>
      </c>
      <c r="P13" s="4" t="str">
        <f t="shared" ca="1" si="5"/>
        <v/>
      </c>
    </row>
    <row r="14" spans="1:16" ht="14.25">
      <c r="A14" t="s">
        <v>98</v>
      </c>
      <c r="B14" t="s">
        <v>408</v>
      </c>
      <c r="C14" t="s">
        <v>653</v>
      </c>
      <c r="I14" s="4" t="str">
        <f t="shared" ca="1" si="6"/>
        <v/>
      </c>
      <c r="J14" s="4" t="str">
        <f t="shared" ca="1" si="7"/>
        <v/>
      </c>
      <c r="K14" s="4" t="str">
        <f t="shared" ca="1" si="0"/>
        <v/>
      </c>
      <c r="L14" s="4" t="str">
        <f t="shared" ca="1" si="1"/>
        <v/>
      </c>
      <c r="M14" s="4" t="str">
        <f t="shared" ca="1" si="2"/>
        <v/>
      </c>
      <c r="N14" s="4" t="str">
        <f t="shared" ca="1" si="3"/>
        <v/>
      </c>
      <c r="O14" s="4" t="str">
        <f t="shared" ca="1" si="4"/>
        <v/>
      </c>
      <c r="P14" s="4" t="str">
        <f t="shared" ca="1" si="5"/>
        <v/>
      </c>
    </row>
    <row r="15" spans="1:16" ht="14.25">
      <c r="A15" t="s">
        <v>102</v>
      </c>
      <c r="B15" t="s">
        <v>409</v>
      </c>
      <c r="C15" t="s">
        <v>654</v>
      </c>
      <c r="I15" s="4" t="str">
        <f t="shared" ca="1" si="6"/>
        <v/>
      </c>
      <c r="J15" s="4" t="str">
        <f t="shared" ca="1" si="7"/>
        <v/>
      </c>
      <c r="K15" s="4" t="str">
        <f t="shared" ca="1" si="0"/>
        <v/>
      </c>
      <c r="L15" s="4" t="str">
        <f t="shared" ca="1" si="1"/>
        <v/>
      </c>
      <c r="M15" s="4" t="str">
        <f t="shared" ca="1" si="2"/>
        <v/>
      </c>
      <c r="N15" s="4" t="str">
        <f t="shared" ca="1" si="3"/>
        <v/>
      </c>
      <c r="O15" s="4" t="str">
        <f t="shared" ca="1" si="4"/>
        <v/>
      </c>
      <c r="P15" s="4" t="str">
        <f t="shared" ca="1" si="5"/>
        <v/>
      </c>
    </row>
    <row r="16" spans="1:16" ht="14.25">
      <c r="A16" t="s">
        <v>105</v>
      </c>
      <c r="B16" t="s">
        <v>410</v>
      </c>
      <c r="C16" t="s">
        <v>655</v>
      </c>
      <c r="I16" s="4" t="str">
        <f t="shared" ca="1" si="6"/>
        <v/>
      </c>
      <c r="J16" s="4" t="str">
        <f t="shared" ca="1" si="7"/>
        <v/>
      </c>
      <c r="K16" s="4" t="str">
        <f t="shared" ca="1" si="0"/>
        <v/>
      </c>
      <c r="L16" s="4" t="str">
        <f t="shared" ca="1" si="1"/>
        <v/>
      </c>
      <c r="M16" s="4" t="str">
        <f t="shared" ca="1" si="2"/>
        <v/>
      </c>
      <c r="N16" s="4" t="str">
        <f t="shared" ca="1" si="3"/>
        <v/>
      </c>
      <c r="O16" s="4" t="str">
        <f t="shared" ca="1" si="4"/>
        <v/>
      </c>
      <c r="P16" s="4" t="str">
        <f t="shared" ca="1" si="5"/>
        <v/>
      </c>
    </row>
    <row r="17" spans="1:16" ht="14.25">
      <c r="A17" t="s">
        <v>107</v>
      </c>
      <c r="B17" t="s">
        <v>411</v>
      </c>
      <c r="C17" t="s">
        <v>656</v>
      </c>
      <c r="I17" s="4" t="str">
        <f t="shared" ca="1" si="6"/>
        <v/>
      </c>
      <c r="J17" s="4" t="str">
        <f t="shared" ca="1" si="7"/>
        <v/>
      </c>
      <c r="K17" s="4" t="str">
        <f t="shared" ca="1" si="0"/>
        <v/>
      </c>
      <c r="L17" s="4" t="str">
        <f t="shared" ca="1" si="1"/>
        <v/>
      </c>
      <c r="M17" s="4" t="str">
        <f t="shared" ca="1" si="2"/>
        <v/>
      </c>
      <c r="N17" s="4" t="str">
        <f t="shared" ca="1" si="3"/>
        <v/>
      </c>
      <c r="O17" s="4" t="str">
        <f t="shared" ca="1" si="4"/>
        <v/>
      </c>
      <c r="P17" s="4" t="str">
        <f t="shared" ca="1" si="5"/>
        <v/>
      </c>
    </row>
    <row r="18" spans="1:16" ht="14.25">
      <c r="A18" t="s">
        <v>108</v>
      </c>
      <c r="B18" t="s">
        <v>412</v>
      </c>
      <c r="C18" t="s">
        <v>657</v>
      </c>
      <c r="I18" s="4" t="str">
        <f t="shared" ca="1" si="6"/>
        <v/>
      </c>
      <c r="J18" s="4" t="str">
        <f t="shared" ca="1" si="7"/>
        <v/>
      </c>
      <c r="K18" s="4" t="str">
        <f t="shared" ca="1" si="0"/>
        <v/>
      </c>
      <c r="L18" s="4" t="str">
        <f t="shared" ca="1" si="1"/>
        <v/>
      </c>
      <c r="M18" s="4" t="str">
        <f t="shared" ca="1" si="2"/>
        <v/>
      </c>
      <c r="N18" s="4" t="str">
        <f t="shared" ca="1" si="3"/>
        <v/>
      </c>
      <c r="O18" s="4" t="str">
        <f t="shared" ca="1" si="4"/>
        <v/>
      </c>
      <c r="P18" s="4" t="str">
        <f t="shared" ca="1" si="5"/>
        <v/>
      </c>
    </row>
    <row r="19" spans="1:16" ht="14.25">
      <c r="A19" t="s">
        <v>110</v>
      </c>
      <c r="B19" t="s">
        <v>413</v>
      </c>
      <c r="C19" t="s">
        <v>658</v>
      </c>
      <c r="I19" s="4" t="str">
        <f t="shared" ca="1" si="6"/>
        <v/>
      </c>
      <c r="J19" s="4" t="str">
        <f t="shared" ca="1" si="7"/>
        <v/>
      </c>
      <c r="K19" s="4" t="str">
        <f t="shared" ca="1" si="0"/>
        <v/>
      </c>
      <c r="L19" s="4" t="str">
        <f t="shared" ca="1" si="1"/>
        <v/>
      </c>
      <c r="M19" s="4" t="str">
        <f t="shared" ca="1" si="2"/>
        <v/>
      </c>
      <c r="N19" s="4" t="str">
        <f t="shared" ca="1" si="3"/>
        <v/>
      </c>
      <c r="O19" s="4" t="str">
        <f t="shared" ca="1" si="4"/>
        <v/>
      </c>
      <c r="P19" s="4" t="str">
        <f t="shared" ca="1" si="5"/>
        <v/>
      </c>
    </row>
    <row r="20" spans="1:16" ht="14.25">
      <c r="A20" t="s">
        <v>112</v>
      </c>
      <c r="B20" t="s">
        <v>414</v>
      </c>
      <c r="C20" t="s">
        <v>659</v>
      </c>
      <c r="I20" s="4" t="str">
        <f t="shared" ca="1" si="6"/>
        <v/>
      </c>
      <c r="J20" s="4" t="str">
        <f t="shared" ca="1" si="7"/>
        <v/>
      </c>
      <c r="K20" s="4" t="str">
        <f t="shared" ca="1" si="0"/>
        <v/>
      </c>
      <c r="L20" s="4" t="str">
        <f t="shared" ca="1" si="1"/>
        <v/>
      </c>
      <c r="M20" s="4" t="str">
        <f t="shared" ca="1" si="2"/>
        <v/>
      </c>
      <c r="N20" s="4" t="str">
        <f t="shared" ca="1" si="3"/>
        <v/>
      </c>
      <c r="O20" s="4" t="str">
        <f t="shared" ca="1" si="4"/>
        <v/>
      </c>
      <c r="P20" s="4" t="str">
        <f t="shared" ca="1" si="5"/>
        <v/>
      </c>
    </row>
    <row r="21" spans="1:16" ht="14.25">
      <c r="A21" t="s">
        <v>114</v>
      </c>
      <c r="B21" t="s">
        <v>415</v>
      </c>
      <c r="C21" t="s">
        <v>660</v>
      </c>
      <c r="I21" s="4" t="str">
        <f t="shared" ca="1" si="6"/>
        <v/>
      </c>
      <c r="J21" s="4" t="str">
        <f t="shared" ca="1" si="7"/>
        <v/>
      </c>
      <c r="K21" s="4" t="str">
        <f t="shared" ca="1" si="0"/>
        <v/>
      </c>
      <c r="L21" s="4" t="str">
        <f t="shared" ca="1" si="1"/>
        <v/>
      </c>
      <c r="M21" s="4" t="str">
        <f t="shared" ca="1" si="2"/>
        <v/>
      </c>
      <c r="N21" s="4" t="str">
        <f t="shared" ca="1" si="3"/>
        <v/>
      </c>
      <c r="O21" s="4" t="str">
        <f t="shared" ca="1" si="4"/>
        <v/>
      </c>
      <c r="P21" s="4" t="str">
        <f t="shared" ca="1" si="5"/>
        <v/>
      </c>
    </row>
    <row r="22" spans="1:16" ht="14.25">
      <c r="A22" t="s">
        <v>116</v>
      </c>
      <c r="B22" t="s">
        <v>416</v>
      </c>
      <c r="C22" t="s">
        <v>661</v>
      </c>
      <c r="I22" s="4" t="str">
        <f t="shared" ca="1" si="6"/>
        <v/>
      </c>
      <c r="J22" s="4" t="str">
        <f t="shared" ca="1" si="7"/>
        <v/>
      </c>
      <c r="K22" s="4" t="str">
        <f t="shared" ca="1" si="0"/>
        <v/>
      </c>
      <c r="L22" s="4" t="str">
        <f t="shared" ca="1" si="1"/>
        <v/>
      </c>
      <c r="M22" s="4" t="str">
        <f t="shared" ca="1" si="2"/>
        <v/>
      </c>
      <c r="N22" s="4" t="str">
        <f t="shared" ca="1" si="3"/>
        <v/>
      </c>
      <c r="O22" s="4" t="str">
        <f t="shared" ca="1" si="4"/>
        <v/>
      </c>
      <c r="P22" s="4" t="str">
        <f t="shared" ca="1" si="5"/>
        <v/>
      </c>
    </row>
    <row r="23" spans="1:16" ht="14.25">
      <c r="A23" t="s">
        <v>117</v>
      </c>
      <c r="B23" t="s">
        <v>417</v>
      </c>
      <c r="C23" t="s">
        <v>662</v>
      </c>
      <c r="I23" s="4" t="str">
        <f t="shared" ca="1" si="6"/>
        <v/>
      </c>
      <c r="J23" s="4" t="str">
        <f t="shared" ca="1" si="7"/>
        <v/>
      </c>
      <c r="K23" s="4" t="str">
        <f t="shared" ca="1" si="0"/>
        <v/>
      </c>
      <c r="L23" s="4" t="str">
        <f t="shared" ca="1" si="1"/>
        <v/>
      </c>
      <c r="M23" s="4" t="str">
        <f t="shared" ca="1" si="2"/>
        <v/>
      </c>
      <c r="N23" s="4" t="str">
        <f t="shared" ca="1" si="3"/>
        <v/>
      </c>
      <c r="O23" s="4" t="str">
        <f t="shared" ca="1" si="4"/>
        <v/>
      </c>
      <c r="P23" s="4" t="str">
        <f t="shared" ca="1" si="5"/>
        <v/>
      </c>
    </row>
    <row r="24" spans="1:16" ht="14.25">
      <c r="A24" t="s">
        <v>118</v>
      </c>
      <c r="B24" t="s">
        <v>418</v>
      </c>
      <c r="C24" t="s">
        <v>663</v>
      </c>
      <c r="I24" s="4" t="str">
        <f t="shared" ca="1" si="6"/>
        <v/>
      </c>
      <c r="J24" s="4" t="str">
        <f t="shared" ca="1" si="7"/>
        <v/>
      </c>
      <c r="K24" s="4" t="str">
        <f t="shared" ca="1" si="0"/>
        <v/>
      </c>
      <c r="L24" s="4" t="str">
        <f t="shared" ca="1" si="1"/>
        <v/>
      </c>
      <c r="M24" s="4" t="str">
        <f t="shared" ca="1" si="2"/>
        <v/>
      </c>
      <c r="N24" s="4" t="str">
        <f t="shared" ca="1" si="3"/>
        <v/>
      </c>
      <c r="O24" s="4" t="str">
        <f t="shared" ca="1" si="4"/>
        <v/>
      </c>
      <c r="P24" s="4" t="str">
        <f t="shared" ca="1" si="5"/>
        <v/>
      </c>
    </row>
    <row r="25" spans="1:16" ht="14.25">
      <c r="A25" t="s">
        <v>120</v>
      </c>
      <c r="B25" t="s">
        <v>419</v>
      </c>
      <c r="C25" t="s">
        <v>664</v>
      </c>
      <c r="I25" s="4" t="str">
        <f t="shared" ca="1" si="6"/>
        <v/>
      </c>
      <c r="J25" s="4" t="str">
        <f t="shared" ca="1" si="7"/>
        <v/>
      </c>
      <c r="K25" s="4" t="str">
        <f t="shared" ca="1" si="0"/>
        <v/>
      </c>
      <c r="L25" s="4" t="str">
        <f t="shared" ca="1" si="1"/>
        <v/>
      </c>
      <c r="M25" s="4" t="str">
        <f t="shared" ca="1" si="2"/>
        <v/>
      </c>
      <c r="N25" s="4" t="str">
        <f t="shared" ca="1" si="3"/>
        <v/>
      </c>
      <c r="O25" s="4" t="str">
        <f t="shared" ca="1" si="4"/>
        <v/>
      </c>
      <c r="P25" s="4" t="str">
        <f t="shared" ca="1" si="5"/>
        <v/>
      </c>
    </row>
    <row r="26" spans="1:16" ht="14.25">
      <c r="A26" t="s">
        <v>122</v>
      </c>
      <c r="B26" t="s">
        <v>420</v>
      </c>
      <c r="C26" t="s">
        <v>665</v>
      </c>
      <c r="I26" s="4" t="str">
        <f t="shared" ca="1" si="6"/>
        <v/>
      </c>
      <c r="J26" s="4" t="str">
        <f t="shared" ca="1" si="7"/>
        <v/>
      </c>
      <c r="K26" s="4" t="str">
        <f t="shared" ca="1" si="0"/>
        <v/>
      </c>
      <c r="L26" s="4" t="str">
        <f t="shared" ca="1" si="1"/>
        <v/>
      </c>
      <c r="M26" s="4" t="str">
        <f t="shared" ca="1" si="2"/>
        <v/>
      </c>
      <c r="N26" s="4" t="str">
        <f t="shared" ca="1" si="3"/>
        <v/>
      </c>
      <c r="O26" s="4" t="str">
        <f t="shared" ca="1" si="4"/>
        <v/>
      </c>
      <c r="P26" s="4" t="str">
        <f t="shared" ca="1" si="5"/>
        <v/>
      </c>
    </row>
    <row r="27" spans="1:16" ht="14.25">
      <c r="A27" t="s">
        <v>125</v>
      </c>
      <c r="B27" t="s">
        <v>421</v>
      </c>
      <c r="C27" t="s">
        <v>666</v>
      </c>
      <c r="I27" s="4" t="str">
        <f t="shared" ca="1" si="6"/>
        <v/>
      </c>
      <c r="J27" s="4" t="str">
        <f t="shared" ca="1" si="7"/>
        <v/>
      </c>
      <c r="K27" s="4" t="str">
        <f t="shared" ca="1" si="0"/>
        <v/>
      </c>
      <c r="L27" s="4" t="str">
        <f t="shared" ca="1" si="1"/>
        <v/>
      </c>
      <c r="M27" s="4" t="str">
        <f t="shared" ca="1" si="2"/>
        <v/>
      </c>
      <c r="N27" s="4" t="str">
        <f t="shared" ca="1" si="3"/>
        <v/>
      </c>
      <c r="O27" s="4" t="str">
        <f t="shared" ca="1" si="4"/>
        <v/>
      </c>
      <c r="P27" s="4" t="str">
        <f t="shared" ca="1" si="5"/>
        <v/>
      </c>
    </row>
    <row r="28" spans="1:16" ht="14.25">
      <c r="A28" t="s">
        <v>128</v>
      </c>
      <c r="B28" t="s">
        <v>422</v>
      </c>
      <c r="C28" t="s">
        <v>667</v>
      </c>
      <c r="I28" s="4" t="str">
        <f t="shared" ca="1" si="6"/>
        <v/>
      </c>
      <c r="J28" s="4" t="str">
        <f t="shared" ca="1" si="7"/>
        <v/>
      </c>
      <c r="K28" s="4" t="str">
        <f t="shared" ca="1" si="0"/>
        <v/>
      </c>
      <c r="L28" s="4" t="str">
        <f t="shared" ca="1" si="1"/>
        <v/>
      </c>
      <c r="M28" s="4" t="str">
        <f t="shared" ca="1" si="2"/>
        <v/>
      </c>
      <c r="N28" s="4" t="str">
        <f t="shared" ca="1" si="3"/>
        <v/>
      </c>
      <c r="O28" s="4" t="str">
        <f t="shared" ca="1" si="4"/>
        <v/>
      </c>
      <c r="P28" s="4" t="str">
        <f t="shared" ca="1" si="5"/>
        <v/>
      </c>
    </row>
    <row r="29" spans="1:16" ht="14.25">
      <c r="A29" t="s">
        <v>131</v>
      </c>
      <c r="B29" t="s">
        <v>423</v>
      </c>
      <c r="C29" t="s">
        <v>668</v>
      </c>
      <c r="I29" s="4" t="str">
        <f t="shared" ca="1" si="6"/>
        <v/>
      </c>
      <c r="J29" s="4" t="str">
        <f t="shared" ca="1" si="7"/>
        <v/>
      </c>
      <c r="K29" s="4" t="str">
        <f t="shared" ca="1" si="0"/>
        <v/>
      </c>
      <c r="L29" s="4" t="str">
        <f t="shared" ca="1" si="1"/>
        <v/>
      </c>
      <c r="M29" s="4" t="str">
        <f t="shared" ca="1" si="2"/>
        <v/>
      </c>
      <c r="N29" s="4" t="str">
        <f t="shared" ca="1" si="3"/>
        <v/>
      </c>
      <c r="O29" s="4" t="str">
        <f t="shared" ca="1" si="4"/>
        <v/>
      </c>
      <c r="P29" s="4" t="str">
        <f t="shared" ca="1" si="5"/>
        <v/>
      </c>
    </row>
    <row r="30" spans="1:16" ht="14.25">
      <c r="A30" t="s">
        <v>133</v>
      </c>
      <c r="B30" t="s">
        <v>424</v>
      </c>
      <c r="C30" t="s">
        <v>669</v>
      </c>
      <c r="I30" s="4" t="str">
        <f t="shared" ca="1" si="6"/>
        <v/>
      </c>
      <c r="J30" s="4" t="str">
        <f t="shared" ca="1" si="7"/>
        <v/>
      </c>
      <c r="K30" s="4" t="str">
        <f t="shared" ca="1" si="0"/>
        <v/>
      </c>
      <c r="L30" s="4" t="str">
        <f t="shared" ca="1" si="1"/>
        <v/>
      </c>
      <c r="M30" s="4" t="str">
        <f t="shared" ca="1" si="2"/>
        <v/>
      </c>
      <c r="N30" s="4" t="str">
        <f t="shared" ca="1" si="3"/>
        <v/>
      </c>
      <c r="O30" s="4" t="str">
        <f t="shared" ca="1" si="4"/>
        <v/>
      </c>
      <c r="P30" s="4" t="str">
        <f t="shared" ca="1" si="5"/>
        <v/>
      </c>
    </row>
    <row r="31" spans="1:16" ht="14.25">
      <c r="A31" t="s">
        <v>135</v>
      </c>
      <c r="B31" t="s">
        <v>425</v>
      </c>
      <c r="C31" t="s">
        <v>670</v>
      </c>
      <c r="I31" s="4" t="str">
        <f t="shared" ca="1" si="6"/>
        <v/>
      </c>
      <c r="J31" s="4" t="str">
        <f t="shared" ca="1" si="7"/>
        <v/>
      </c>
      <c r="K31" s="4" t="str">
        <f t="shared" ca="1" si="0"/>
        <v/>
      </c>
      <c r="L31" s="4" t="str">
        <f t="shared" ca="1" si="1"/>
        <v/>
      </c>
      <c r="M31" s="4" t="str">
        <f t="shared" ca="1" si="2"/>
        <v/>
      </c>
      <c r="N31" s="4" t="str">
        <f t="shared" ca="1" si="3"/>
        <v/>
      </c>
      <c r="O31" s="4" t="str">
        <f t="shared" ca="1" si="4"/>
        <v/>
      </c>
      <c r="P31" s="4" t="str">
        <f t="shared" ca="1" si="5"/>
        <v/>
      </c>
    </row>
    <row r="32" spans="1:16" ht="14.25">
      <c r="A32" t="s">
        <v>138</v>
      </c>
      <c r="B32" t="s">
        <v>426</v>
      </c>
      <c r="C32" t="s">
        <v>671</v>
      </c>
      <c r="I32" s="4" t="str">
        <f t="shared" ca="1" si="6"/>
        <v/>
      </c>
      <c r="J32" s="4" t="str">
        <f t="shared" ca="1" si="7"/>
        <v/>
      </c>
      <c r="K32" s="4" t="str">
        <f t="shared" ca="1" si="0"/>
        <v/>
      </c>
      <c r="L32" s="4" t="str">
        <f t="shared" ca="1" si="1"/>
        <v/>
      </c>
      <c r="M32" s="4" t="str">
        <f t="shared" ca="1" si="2"/>
        <v/>
      </c>
      <c r="N32" s="4" t="str">
        <f t="shared" ca="1" si="3"/>
        <v/>
      </c>
      <c r="O32" s="4" t="str">
        <f t="shared" ca="1" si="4"/>
        <v/>
      </c>
      <c r="P32" s="4" t="str">
        <f t="shared" ca="1" si="5"/>
        <v/>
      </c>
    </row>
    <row r="33" spans="1:16" ht="14.25">
      <c r="A33" t="s">
        <v>140</v>
      </c>
      <c r="B33" t="s">
        <v>427</v>
      </c>
      <c r="C33" t="s">
        <v>672</v>
      </c>
      <c r="I33" s="4" t="str">
        <f t="shared" ca="1" si="6"/>
        <v/>
      </c>
      <c r="J33" s="4" t="str">
        <f t="shared" ca="1" si="7"/>
        <v/>
      </c>
      <c r="K33" s="4" t="str">
        <f t="shared" ca="1" si="0"/>
        <v/>
      </c>
      <c r="L33" s="4" t="str">
        <f t="shared" ca="1" si="1"/>
        <v/>
      </c>
      <c r="M33" s="4" t="str">
        <f t="shared" ca="1" si="2"/>
        <v/>
      </c>
      <c r="N33" s="4" t="str">
        <f t="shared" ca="1" si="3"/>
        <v/>
      </c>
      <c r="O33" s="4" t="str">
        <f t="shared" ca="1" si="4"/>
        <v/>
      </c>
      <c r="P33" s="4" t="str">
        <f t="shared" ca="1" si="5"/>
        <v/>
      </c>
    </row>
    <row r="34" spans="1:16" ht="14.25">
      <c r="A34" t="s">
        <v>144</v>
      </c>
      <c r="B34" t="s">
        <v>428</v>
      </c>
      <c r="C34" t="s">
        <v>673</v>
      </c>
      <c r="I34" s="4" t="str">
        <f t="shared" ca="1" si="6"/>
        <v/>
      </c>
      <c r="J34" s="4" t="str">
        <f t="shared" ca="1" si="7"/>
        <v/>
      </c>
      <c r="K34" s="4" t="str">
        <f t="shared" ca="1" si="0"/>
        <v/>
      </c>
      <c r="L34" s="4" t="str">
        <f t="shared" ca="1" si="1"/>
        <v/>
      </c>
      <c r="M34" s="4" t="str">
        <f t="shared" ca="1" si="2"/>
        <v/>
      </c>
      <c r="N34" s="4" t="str">
        <f t="shared" ca="1" si="3"/>
        <v/>
      </c>
      <c r="O34" s="4" t="str">
        <f t="shared" ca="1" si="4"/>
        <v/>
      </c>
      <c r="P34" s="4" t="str">
        <f t="shared" ca="1" si="5"/>
        <v/>
      </c>
    </row>
    <row r="35" spans="1:16" ht="14.25">
      <c r="A35" t="s">
        <v>146</v>
      </c>
      <c r="B35" t="s">
        <v>429</v>
      </c>
      <c r="C35" t="s">
        <v>674</v>
      </c>
      <c r="I35" s="4" t="str">
        <f t="shared" ca="1" si="6"/>
        <v/>
      </c>
      <c r="J35" s="4" t="str">
        <f t="shared" ca="1" si="7"/>
        <v/>
      </c>
      <c r="K35" s="4" t="str">
        <f t="shared" ca="1" si="0"/>
        <v/>
      </c>
      <c r="L35" s="4" t="str">
        <f t="shared" ca="1" si="1"/>
        <v/>
      </c>
      <c r="M35" s="4" t="str">
        <f t="shared" ca="1" si="2"/>
        <v/>
      </c>
      <c r="N35" s="4" t="str">
        <f t="shared" ca="1" si="3"/>
        <v/>
      </c>
      <c r="O35" s="4" t="str">
        <f t="shared" ca="1" si="4"/>
        <v/>
      </c>
      <c r="P35" s="4" t="str">
        <f t="shared" ca="1" si="5"/>
        <v/>
      </c>
    </row>
    <row r="36" spans="1:16" ht="14.25">
      <c r="A36" t="s">
        <v>147</v>
      </c>
      <c r="B36" t="s">
        <v>430</v>
      </c>
      <c r="C36" t="s">
        <v>675</v>
      </c>
      <c r="I36" s="4">
        <f t="shared" ca="1" si="6"/>
        <v>7036</v>
      </c>
      <c r="J36" s="4">
        <f t="shared" ca="1" si="7"/>
        <v>7</v>
      </c>
      <c r="K36" s="4" t="str">
        <f t="shared" ca="1" si="0"/>
        <v/>
      </c>
      <c r="L36" s="4">
        <f t="shared" ca="1" si="1"/>
        <v>8</v>
      </c>
      <c r="M36" s="4" t="str">
        <f t="shared" ca="1" si="2"/>
        <v/>
      </c>
      <c r="N36" s="4" t="str">
        <f t="shared" ca="1" si="3"/>
        <v/>
      </c>
      <c r="O36" s="4" t="str">
        <f t="shared" ca="1" si="4"/>
        <v/>
      </c>
      <c r="P36" s="4" t="str">
        <f t="shared" ca="1" si="5"/>
        <v/>
      </c>
    </row>
    <row r="37" spans="1:16" ht="14.25">
      <c r="A37" t="s">
        <v>149</v>
      </c>
      <c r="B37" t="s">
        <v>635</v>
      </c>
      <c r="C37" t="s">
        <v>676</v>
      </c>
      <c r="D37" t="s">
        <v>639</v>
      </c>
      <c r="E37" t="s">
        <v>1022</v>
      </c>
      <c r="I37" s="4" t="str">
        <f t="shared" ca="1" si="6"/>
        <v/>
      </c>
      <c r="J37" s="4" t="str">
        <f t="shared" ca="1" si="7"/>
        <v/>
      </c>
      <c r="K37" s="4" t="str">
        <f t="shared" ca="1" si="0"/>
        <v/>
      </c>
      <c r="L37" s="4" t="str">
        <f t="shared" ca="1" si="1"/>
        <v/>
      </c>
      <c r="M37" s="4" t="str">
        <f t="shared" ca="1" si="2"/>
        <v/>
      </c>
      <c r="N37" s="4" t="str">
        <f t="shared" ca="1" si="3"/>
        <v/>
      </c>
      <c r="O37" s="4" t="str">
        <f t="shared" ca="1" si="4"/>
        <v/>
      </c>
      <c r="P37" s="4" t="str">
        <f t="shared" ca="1" si="5"/>
        <v/>
      </c>
    </row>
    <row r="38" spans="1:16" ht="14.25">
      <c r="A38" t="s">
        <v>150</v>
      </c>
      <c r="B38" t="s">
        <v>636</v>
      </c>
      <c r="C38" t="s">
        <v>677</v>
      </c>
      <c r="D38" t="s">
        <v>640</v>
      </c>
      <c r="E38" t="s">
        <v>1023</v>
      </c>
      <c r="I38" s="4" t="str">
        <f t="shared" ca="1" si="6"/>
        <v/>
      </c>
      <c r="J38" s="4" t="str">
        <f t="shared" ca="1" si="7"/>
        <v/>
      </c>
      <c r="K38" s="4" t="str">
        <f t="shared" ca="1" si="0"/>
        <v/>
      </c>
      <c r="L38" s="4" t="str">
        <f t="shared" ca="1" si="1"/>
        <v/>
      </c>
      <c r="M38" s="4" t="str">
        <f t="shared" ca="1" si="2"/>
        <v/>
      </c>
      <c r="N38" s="4" t="str">
        <f t="shared" ca="1" si="3"/>
        <v/>
      </c>
      <c r="O38" s="4" t="str">
        <f t="shared" ca="1" si="4"/>
        <v/>
      </c>
      <c r="P38" s="4" t="str">
        <f t="shared" ca="1" si="5"/>
        <v/>
      </c>
    </row>
    <row r="39" spans="1:16" ht="14.25">
      <c r="A39" t="s">
        <v>151</v>
      </c>
      <c r="B39" t="s">
        <v>431</v>
      </c>
      <c r="C39" t="s">
        <v>678</v>
      </c>
      <c r="I39" s="4" t="str">
        <f t="shared" ca="1" si="6"/>
        <v/>
      </c>
      <c r="J39" s="4" t="str">
        <f t="shared" ca="1" si="7"/>
        <v/>
      </c>
      <c r="K39" s="4" t="str">
        <f t="shared" ca="1" si="0"/>
        <v/>
      </c>
      <c r="L39" s="4" t="str">
        <f t="shared" ca="1" si="1"/>
        <v/>
      </c>
      <c r="M39" s="4" t="str">
        <f t="shared" ca="1" si="2"/>
        <v/>
      </c>
      <c r="N39" s="4" t="str">
        <f t="shared" ca="1" si="3"/>
        <v/>
      </c>
      <c r="O39" s="4" t="str">
        <f t="shared" ca="1" si="4"/>
        <v/>
      </c>
      <c r="P39" s="4" t="str">
        <f t="shared" ca="1" si="5"/>
        <v/>
      </c>
    </row>
    <row r="40" spans="1:16" ht="14.25">
      <c r="A40" t="s">
        <v>152</v>
      </c>
      <c r="B40" t="s">
        <v>432</v>
      </c>
      <c r="C40" t="s">
        <v>679</v>
      </c>
      <c r="I40" s="4" t="str">
        <f t="shared" ca="1" si="6"/>
        <v/>
      </c>
      <c r="J40" s="4" t="str">
        <f t="shared" ca="1" si="7"/>
        <v/>
      </c>
      <c r="K40" s="4" t="str">
        <f t="shared" ca="1" si="0"/>
        <v/>
      </c>
      <c r="L40" s="4" t="str">
        <f t="shared" ca="1" si="1"/>
        <v/>
      </c>
      <c r="M40" s="4" t="str">
        <f t="shared" ca="1" si="2"/>
        <v/>
      </c>
      <c r="N40" s="4" t="str">
        <f t="shared" ca="1" si="3"/>
        <v/>
      </c>
      <c r="O40" s="4" t="str">
        <f t="shared" ca="1" si="4"/>
        <v/>
      </c>
      <c r="P40" s="4" t="str">
        <f t="shared" ca="1" si="5"/>
        <v/>
      </c>
    </row>
    <row r="41" spans="1:16" ht="14.25">
      <c r="A41" t="s">
        <v>1226</v>
      </c>
      <c r="B41" t="s">
        <v>1227</v>
      </c>
      <c r="C41" t="s">
        <v>1228</v>
      </c>
      <c r="I41" s="4" t="str">
        <f t="shared" ca="1" si="6"/>
        <v/>
      </c>
      <c r="J41" s="4" t="str">
        <f t="shared" ca="1" si="7"/>
        <v/>
      </c>
      <c r="K41" s="4" t="str">
        <f t="shared" ca="1" si="0"/>
        <v/>
      </c>
      <c r="L41" s="4" t="str">
        <f t="shared" ca="1" si="1"/>
        <v/>
      </c>
      <c r="M41" s="4" t="str">
        <f t="shared" ca="1" si="2"/>
        <v/>
      </c>
      <c r="N41" s="4" t="str">
        <f t="shared" ca="1" si="3"/>
        <v/>
      </c>
      <c r="O41" s="4" t="str">
        <f t="shared" ca="1" si="4"/>
        <v/>
      </c>
      <c r="P41" s="4" t="str">
        <f t="shared" ca="1" si="5"/>
        <v/>
      </c>
    </row>
    <row r="42" spans="1:16" ht="14.25">
      <c r="A42" t="s">
        <v>154</v>
      </c>
      <c r="B42" t="s">
        <v>433</v>
      </c>
      <c r="C42" t="s">
        <v>680</v>
      </c>
      <c r="I42" s="4" t="str">
        <f t="shared" ca="1" si="6"/>
        <v/>
      </c>
      <c r="J42" s="4" t="str">
        <f t="shared" ca="1" si="7"/>
        <v/>
      </c>
      <c r="K42" s="4" t="str">
        <f t="shared" ca="1" si="0"/>
        <v/>
      </c>
      <c r="L42" s="4" t="str">
        <f t="shared" ca="1" si="1"/>
        <v/>
      </c>
      <c r="M42" s="4" t="str">
        <f t="shared" ca="1" si="2"/>
        <v/>
      </c>
      <c r="N42" s="4" t="str">
        <f t="shared" ca="1" si="3"/>
        <v/>
      </c>
      <c r="O42" s="4" t="str">
        <f t="shared" ca="1" si="4"/>
        <v/>
      </c>
      <c r="P42" s="4" t="str">
        <f t="shared" ca="1" si="5"/>
        <v/>
      </c>
    </row>
    <row r="43" spans="1:16" ht="14.25">
      <c r="A43" t="s">
        <v>155</v>
      </c>
      <c r="B43" t="s">
        <v>434</v>
      </c>
      <c r="C43" t="s">
        <v>681</v>
      </c>
      <c r="I43" s="4" t="str">
        <f t="shared" ca="1" si="6"/>
        <v/>
      </c>
      <c r="J43" s="4" t="str">
        <f t="shared" ca="1" si="7"/>
        <v/>
      </c>
      <c r="K43" s="4" t="str">
        <f t="shared" ca="1" si="0"/>
        <v/>
      </c>
      <c r="L43" s="4" t="str">
        <f t="shared" ca="1" si="1"/>
        <v/>
      </c>
      <c r="M43" s="4" t="str">
        <f t="shared" ca="1" si="2"/>
        <v/>
      </c>
      <c r="N43" s="4" t="str">
        <f t="shared" ca="1" si="3"/>
        <v/>
      </c>
      <c r="O43" s="4" t="str">
        <f t="shared" ca="1" si="4"/>
        <v/>
      </c>
      <c r="P43" s="4" t="str">
        <f t="shared" ca="1" si="5"/>
        <v/>
      </c>
    </row>
    <row r="44" spans="1:16" ht="14.25">
      <c r="A44" t="s">
        <v>159</v>
      </c>
      <c r="B44" t="s">
        <v>435</v>
      </c>
      <c r="C44" t="s">
        <v>682</v>
      </c>
      <c r="I44" s="4" t="str">
        <f t="shared" ca="1" si="6"/>
        <v/>
      </c>
      <c r="J44" s="4" t="str">
        <f t="shared" ca="1" si="7"/>
        <v/>
      </c>
      <c r="K44" s="4" t="str">
        <f t="shared" ca="1" si="0"/>
        <v/>
      </c>
      <c r="L44" s="4" t="str">
        <f t="shared" ca="1" si="1"/>
        <v/>
      </c>
      <c r="M44" s="4" t="str">
        <f t="shared" ca="1" si="2"/>
        <v/>
      </c>
      <c r="N44" s="4" t="str">
        <f t="shared" ca="1" si="3"/>
        <v/>
      </c>
      <c r="O44" s="4" t="str">
        <f t="shared" ca="1" si="4"/>
        <v/>
      </c>
      <c r="P44" s="4" t="str">
        <f t="shared" ca="1" si="5"/>
        <v/>
      </c>
    </row>
    <row r="45" spans="1:16" ht="14.25">
      <c r="A45" t="s">
        <v>228</v>
      </c>
      <c r="B45" t="s">
        <v>469</v>
      </c>
      <c r="C45" t="s">
        <v>717</v>
      </c>
      <c r="I45" s="4">
        <f t="shared" ca="1" si="6"/>
        <v>6045</v>
      </c>
      <c r="J45" s="4">
        <f t="shared" ca="1" si="7"/>
        <v>6</v>
      </c>
      <c r="K45" s="4" t="str">
        <f t="shared" ca="1" si="0"/>
        <v/>
      </c>
      <c r="L45" s="4">
        <f t="shared" ca="1" si="1"/>
        <v>7</v>
      </c>
      <c r="M45" s="4" t="str">
        <f t="shared" ca="1" si="2"/>
        <v/>
      </c>
      <c r="N45" s="4" t="str">
        <f t="shared" ca="1" si="3"/>
        <v/>
      </c>
      <c r="O45" s="4" t="str">
        <f t="shared" ca="1" si="4"/>
        <v/>
      </c>
      <c r="P45" s="4" t="str">
        <f t="shared" ca="1" si="5"/>
        <v/>
      </c>
    </row>
    <row r="46" spans="1:16" ht="14.25">
      <c r="I46" s="4" t="str">
        <f t="shared" ca="1" si="6"/>
        <v/>
      </c>
      <c r="J46" s="4" t="str">
        <f t="shared" ca="1" si="7"/>
        <v/>
      </c>
      <c r="K46" s="4" t="str">
        <f t="shared" ca="1" si="0"/>
        <v/>
      </c>
      <c r="L46" s="4" t="str">
        <f t="shared" ca="1" si="1"/>
        <v/>
      </c>
      <c r="M46" s="4" t="str">
        <f t="shared" ca="1" si="2"/>
        <v/>
      </c>
      <c r="N46" s="4" t="str">
        <f t="shared" ca="1" si="3"/>
        <v/>
      </c>
      <c r="O46" s="4" t="str">
        <f t="shared" ca="1" si="4"/>
        <v/>
      </c>
      <c r="P46" s="4" t="str">
        <f t="shared" ca="1" si="5"/>
        <v/>
      </c>
    </row>
    <row r="47" spans="1:16" ht="14.25">
      <c r="A47" t="s">
        <v>160</v>
      </c>
      <c r="B47" t="s">
        <v>436</v>
      </c>
      <c r="C47" t="s">
        <v>683</v>
      </c>
      <c r="I47" s="4" t="str">
        <f t="shared" ca="1" si="6"/>
        <v/>
      </c>
      <c r="J47" s="4" t="str">
        <f t="shared" ca="1" si="7"/>
        <v/>
      </c>
      <c r="K47" s="4" t="str">
        <f t="shared" ca="1" si="0"/>
        <v/>
      </c>
      <c r="L47" s="4" t="str">
        <f t="shared" ca="1" si="1"/>
        <v/>
      </c>
      <c r="M47" s="4" t="str">
        <f t="shared" ca="1" si="2"/>
        <v/>
      </c>
      <c r="N47" s="4" t="str">
        <f t="shared" ca="1" si="3"/>
        <v/>
      </c>
      <c r="O47" s="4" t="str">
        <f t="shared" ca="1" si="4"/>
        <v/>
      </c>
      <c r="P47" s="4" t="str">
        <f t="shared" ca="1" si="5"/>
        <v/>
      </c>
    </row>
    <row r="48" spans="1:16" ht="14.25">
      <c r="A48" t="s">
        <v>161</v>
      </c>
      <c r="B48" t="s">
        <v>1097</v>
      </c>
      <c r="C48" t="s">
        <v>1098</v>
      </c>
      <c r="I48" s="4" t="str">
        <f t="shared" ca="1" si="6"/>
        <v/>
      </c>
      <c r="J48" s="4" t="str">
        <f t="shared" ca="1" si="7"/>
        <v/>
      </c>
      <c r="K48" s="4" t="str">
        <f t="shared" ca="1" si="0"/>
        <v/>
      </c>
      <c r="L48" s="4" t="str">
        <f t="shared" ca="1" si="1"/>
        <v/>
      </c>
      <c r="M48" s="4" t="str">
        <f t="shared" ca="1" si="2"/>
        <v/>
      </c>
      <c r="N48" s="4" t="str">
        <f t="shared" ca="1" si="3"/>
        <v/>
      </c>
      <c r="O48" s="4" t="str">
        <f t="shared" ca="1" si="4"/>
        <v/>
      </c>
      <c r="P48" s="4" t="str">
        <f t="shared" ca="1" si="5"/>
        <v/>
      </c>
    </row>
    <row r="49" spans="1:16" ht="14.25">
      <c r="A49" t="s">
        <v>163</v>
      </c>
      <c r="B49" t="s">
        <v>1088</v>
      </c>
      <c r="C49" t="s">
        <v>1093</v>
      </c>
      <c r="I49" s="4" t="str">
        <f t="shared" ca="1" si="6"/>
        <v/>
      </c>
      <c r="J49" s="4" t="str">
        <f t="shared" ca="1" si="7"/>
        <v/>
      </c>
      <c r="K49" s="4" t="str">
        <f t="shared" ca="1" si="0"/>
        <v/>
      </c>
      <c r="L49" s="4" t="str">
        <f t="shared" ca="1" si="1"/>
        <v/>
      </c>
      <c r="M49" s="4" t="str">
        <f t="shared" ca="1" si="2"/>
        <v/>
      </c>
      <c r="N49" s="4" t="str">
        <f t="shared" ca="1" si="3"/>
        <v/>
      </c>
      <c r="O49" s="4" t="str">
        <f t="shared" ca="1" si="4"/>
        <v/>
      </c>
      <c r="P49" s="4" t="str">
        <f t="shared" ca="1" si="5"/>
        <v/>
      </c>
    </row>
    <row r="50" spans="1:16" ht="14.25">
      <c r="A50" t="s">
        <v>165</v>
      </c>
      <c r="B50" t="s">
        <v>437</v>
      </c>
      <c r="C50" t="s">
        <v>684</v>
      </c>
      <c r="I50" s="4" t="str">
        <f t="shared" ca="1" si="6"/>
        <v/>
      </c>
      <c r="J50" s="4" t="str">
        <f t="shared" ca="1" si="7"/>
        <v/>
      </c>
      <c r="K50" s="4" t="str">
        <f t="shared" ca="1" si="0"/>
        <v/>
      </c>
      <c r="L50" s="4" t="str">
        <f t="shared" ca="1" si="1"/>
        <v/>
      </c>
      <c r="M50" s="4" t="str">
        <f t="shared" ca="1" si="2"/>
        <v/>
      </c>
      <c r="N50" s="4" t="str">
        <f t="shared" ca="1" si="3"/>
        <v/>
      </c>
      <c r="O50" s="4" t="str">
        <f t="shared" ca="1" si="4"/>
        <v/>
      </c>
      <c r="P50" s="4" t="str">
        <f t="shared" ca="1" si="5"/>
        <v/>
      </c>
    </row>
    <row r="51" spans="1:16" ht="14.25">
      <c r="A51" t="s">
        <v>167</v>
      </c>
      <c r="B51" t="s">
        <v>438</v>
      </c>
      <c r="C51" t="s">
        <v>685</v>
      </c>
      <c r="I51" s="4" t="str">
        <f t="shared" ca="1" si="6"/>
        <v/>
      </c>
      <c r="J51" s="4" t="str">
        <f t="shared" ca="1" si="7"/>
        <v/>
      </c>
      <c r="K51" s="4" t="str">
        <f t="shared" ca="1" si="0"/>
        <v/>
      </c>
      <c r="L51" s="4" t="str">
        <f t="shared" ca="1" si="1"/>
        <v/>
      </c>
      <c r="M51" s="4" t="str">
        <f t="shared" ca="1" si="2"/>
        <v/>
      </c>
      <c r="N51" s="4" t="str">
        <f t="shared" ca="1" si="3"/>
        <v/>
      </c>
      <c r="O51" s="4" t="str">
        <f t="shared" ca="1" si="4"/>
        <v/>
      </c>
      <c r="P51" s="4" t="str">
        <f t="shared" ca="1" si="5"/>
        <v/>
      </c>
    </row>
    <row r="52" spans="1:16" ht="14.25">
      <c r="A52" t="s">
        <v>168</v>
      </c>
      <c r="B52" t="s">
        <v>439</v>
      </c>
      <c r="C52" t="s">
        <v>686</v>
      </c>
      <c r="I52" s="4" t="str">
        <f t="shared" ca="1" si="6"/>
        <v/>
      </c>
      <c r="J52" s="4" t="str">
        <f t="shared" ca="1" si="7"/>
        <v/>
      </c>
      <c r="K52" s="4" t="str">
        <f t="shared" ca="1" si="0"/>
        <v/>
      </c>
      <c r="L52" s="4" t="str">
        <f t="shared" ca="1" si="1"/>
        <v/>
      </c>
      <c r="M52" s="4" t="str">
        <f t="shared" ca="1" si="2"/>
        <v/>
      </c>
      <c r="N52" s="4" t="str">
        <f t="shared" ca="1" si="3"/>
        <v/>
      </c>
      <c r="O52" s="4" t="str">
        <f t="shared" ca="1" si="4"/>
        <v/>
      </c>
      <c r="P52" s="4" t="str">
        <f t="shared" ca="1" si="5"/>
        <v/>
      </c>
    </row>
    <row r="53" spans="1:16" ht="14.25">
      <c r="I53" s="4" t="str">
        <f t="shared" ca="1" si="6"/>
        <v/>
      </c>
      <c r="J53" s="4" t="str">
        <f t="shared" ca="1" si="7"/>
        <v/>
      </c>
      <c r="K53" s="4" t="str">
        <f t="shared" ca="1" si="0"/>
        <v/>
      </c>
      <c r="L53" s="4" t="str">
        <f t="shared" ca="1" si="1"/>
        <v/>
      </c>
      <c r="M53" s="4" t="str">
        <f t="shared" ca="1" si="2"/>
        <v/>
      </c>
      <c r="N53" s="4" t="str">
        <f t="shared" ca="1" si="3"/>
        <v/>
      </c>
      <c r="O53" s="4" t="str">
        <f t="shared" ca="1" si="4"/>
        <v/>
      </c>
      <c r="P53" s="4" t="str">
        <f t="shared" ca="1" si="5"/>
        <v/>
      </c>
    </row>
    <row r="54" spans="1:16" ht="14.25">
      <c r="A54" t="s">
        <v>171</v>
      </c>
      <c r="B54" t="s">
        <v>440</v>
      </c>
      <c r="C54" t="s">
        <v>687</v>
      </c>
      <c r="I54" s="4" t="str">
        <f t="shared" ca="1" si="6"/>
        <v/>
      </c>
      <c r="J54" s="4" t="str">
        <f t="shared" ca="1" si="7"/>
        <v/>
      </c>
      <c r="K54" s="4" t="str">
        <f t="shared" ca="1" si="0"/>
        <v/>
      </c>
      <c r="L54" s="4" t="str">
        <f t="shared" ca="1" si="1"/>
        <v/>
      </c>
      <c r="M54" s="4" t="str">
        <f t="shared" ca="1" si="2"/>
        <v/>
      </c>
      <c r="N54" s="4" t="str">
        <f t="shared" ca="1" si="3"/>
        <v/>
      </c>
      <c r="O54" s="4" t="str">
        <f t="shared" ca="1" si="4"/>
        <v/>
      </c>
      <c r="P54" s="4" t="str">
        <f t="shared" ca="1" si="5"/>
        <v/>
      </c>
    </row>
    <row r="55" spans="1:16" ht="14.25">
      <c r="A55" t="s">
        <v>172</v>
      </c>
      <c r="B55" t="s">
        <v>1089</v>
      </c>
      <c r="C55" t="s">
        <v>1094</v>
      </c>
      <c r="I55" s="4" t="str">
        <f t="shared" ca="1" si="6"/>
        <v/>
      </c>
      <c r="J55" s="4" t="str">
        <f t="shared" ca="1" si="7"/>
        <v/>
      </c>
      <c r="K55" s="4" t="str">
        <f t="shared" ca="1" si="0"/>
        <v/>
      </c>
      <c r="L55" s="4" t="str">
        <f t="shared" ca="1" si="1"/>
        <v/>
      </c>
      <c r="M55" s="4" t="str">
        <f t="shared" ca="1" si="2"/>
        <v/>
      </c>
      <c r="N55" s="4" t="str">
        <f t="shared" ca="1" si="3"/>
        <v/>
      </c>
      <c r="O55" s="4" t="str">
        <f t="shared" ca="1" si="4"/>
        <v/>
      </c>
      <c r="P55" s="4" t="str">
        <f t="shared" ca="1" si="5"/>
        <v/>
      </c>
    </row>
    <row r="56" spans="1:16" ht="14.25">
      <c r="A56" t="s">
        <v>173</v>
      </c>
      <c r="B56" t="s">
        <v>441</v>
      </c>
      <c r="C56" t="s">
        <v>688</v>
      </c>
      <c r="I56" s="4" t="str">
        <f t="shared" ca="1" si="6"/>
        <v/>
      </c>
      <c r="J56" s="4" t="str">
        <f t="shared" ca="1" si="7"/>
        <v/>
      </c>
      <c r="K56" s="4" t="str">
        <f t="shared" ca="1" si="0"/>
        <v/>
      </c>
      <c r="L56" s="4" t="str">
        <f t="shared" ca="1" si="1"/>
        <v/>
      </c>
      <c r="M56" s="4" t="str">
        <f t="shared" ca="1" si="2"/>
        <v/>
      </c>
      <c r="N56" s="4" t="str">
        <f t="shared" ca="1" si="3"/>
        <v/>
      </c>
      <c r="O56" s="4" t="str">
        <f t="shared" ca="1" si="4"/>
        <v/>
      </c>
      <c r="P56" s="4" t="str">
        <f t="shared" ca="1" si="5"/>
        <v/>
      </c>
    </row>
    <row r="57" spans="1:16" ht="14.25">
      <c r="I57" s="4" t="str">
        <f t="shared" ca="1" si="6"/>
        <v/>
      </c>
      <c r="J57" s="4" t="str">
        <f t="shared" ca="1" si="7"/>
        <v/>
      </c>
      <c r="K57" s="4" t="str">
        <f t="shared" ca="1" si="0"/>
        <v/>
      </c>
      <c r="L57" s="4" t="str">
        <f t="shared" ca="1" si="1"/>
        <v/>
      </c>
      <c r="M57" s="4" t="str">
        <f t="shared" ca="1" si="2"/>
        <v/>
      </c>
      <c r="N57" s="4" t="str">
        <f t="shared" ca="1" si="3"/>
        <v/>
      </c>
      <c r="O57" s="4" t="str">
        <f t="shared" ca="1" si="4"/>
        <v/>
      </c>
      <c r="P57" s="4" t="str">
        <f t="shared" ca="1" si="5"/>
        <v/>
      </c>
    </row>
    <row r="58" spans="1:16" ht="14.25">
      <c r="A58" t="s">
        <v>174</v>
      </c>
      <c r="B58" t="s">
        <v>442</v>
      </c>
      <c r="C58" t="s">
        <v>689</v>
      </c>
      <c r="I58" s="4" t="str">
        <f t="shared" ca="1" si="6"/>
        <v/>
      </c>
      <c r="J58" s="4" t="str">
        <f t="shared" ca="1" si="7"/>
        <v/>
      </c>
      <c r="K58" s="4" t="str">
        <f t="shared" ca="1" si="0"/>
        <v/>
      </c>
      <c r="L58" s="4" t="str">
        <f t="shared" ca="1" si="1"/>
        <v/>
      </c>
      <c r="M58" s="4" t="str">
        <f t="shared" ca="1" si="2"/>
        <v/>
      </c>
      <c r="N58" s="4" t="str">
        <f t="shared" ca="1" si="3"/>
        <v/>
      </c>
      <c r="O58" s="4" t="str">
        <f t="shared" ca="1" si="4"/>
        <v/>
      </c>
      <c r="P58" s="4" t="str">
        <f t="shared" ca="1" si="5"/>
        <v/>
      </c>
    </row>
    <row r="59" spans="1:16" ht="14.25">
      <c r="A59" t="s">
        <v>177</v>
      </c>
      <c r="B59" t="s">
        <v>443</v>
      </c>
      <c r="C59" t="s">
        <v>690</v>
      </c>
      <c r="I59" s="4" t="str">
        <f t="shared" ca="1" si="6"/>
        <v/>
      </c>
      <c r="J59" s="4" t="str">
        <f t="shared" ca="1" si="7"/>
        <v/>
      </c>
      <c r="K59" s="4" t="str">
        <f t="shared" ca="1" si="0"/>
        <v/>
      </c>
      <c r="L59" s="4" t="str">
        <f t="shared" ca="1" si="1"/>
        <v/>
      </c>
      <c r="M59" s="4" t="str">
        <f t="shared" ca="1" si="2"/>
        <v/>
      </c>
      <c r="N59" s="4" t="str">
        <f t="shared" ca="1" si="3"/>
        <v/>
      </c>
      <c r="O59" s="4" t="str">
        <f t="shared" ca="1" si="4"/>
        <v/>
      </c>
      <c r="P59" s="4" t="str">
        <f t="shared" ca="1" si="5"/>
        <v/>
      </c>
    </row>
    <row r="60" spans="1:16" ht="14.25">
      <c r="A60" t="s">
        <v>178</v>
      </c>
      <c r="B60" t="s">
        <v>444</v>
      </c>
      <c r="C60" t="s">
        <v>691</v>
      </c>
      <c r="I60" s="4" t="str">
        <f t="shared" ca="1" si="6"/>
        <v/>
      </c>
      <c r="J60" s="4" t="str">
        <f t="shared" ca="1" si="7"/>
        <v/>
      </c>
      <c r="K60" s="4" t="str">
        <f t="shared" ca="1" si="0"/>
        <v/>
      </c>
      <c r="L60" s="4" t="str">
        <f t="shared" ca="1" si="1"/>
        <v/>
      </c>
      <c r="M60" s="4" t="str">
        <f t="shared" ca="1" si="2"/>
        <v/>
      </c>
      <c r="N60" s="4" t="str">
        <f t="shared" ca="1" si="3"/>
        <v/>
      </c>
      <c r="O60" s="4" t="str">
        <f t="shared" ca="1" si="4"/>
        <v/>
      </c>
      <c r="P60" s="4" t="str">
        <f t="shared" ca="1" si="5"/>
        <v/>
      </c>
    </row>
    <row r="61" spans="1:16" ht="14.25">
      <c r="A61" t="s">
        <v>181</v>
      </c>
      <c r="B61" t="s">
        <v>445</v>
      </c>
      <c r="C61" t="s">
        <v>692</v>
      </c>
      <c r="I61" s="4" t="str">
        <f t="shared" ca="1" si="6"/>
        <v/>
      </c>
      <c r="J61" s="4" t="str">
        <f t="shared" ca="1" si="7"/>
        <v/>
      </c>
      <c r="K61" s="4" t="str">
        <f t="shared" ca="1" si="0"/>
        <v/>
      </c>
      <c r="L61" s="4" t="str">
        <f t="shared" ca="1" si="1"/>
        <v/>
      </c>
      <c r="M61" s="4" t="str">
        <f t="shared" ca="1" si="2"/>
        <v/>
      </c>
      <c r="N61" s="4" t="str">
        <f t="shared" ca="1" si="3"/>
        <v/>
      </c>
      <c r="O61" s="4" t="str">
        <f t="shared" ca="1" si="4"/>
        <v/>
      </c>
      <c r="P61" s="4" t="str">
        <f t="shared" ca="1" si="5"/>
        <v/>
      </c>
    </row>
    <row r="62" spans="1:16" ht="14.25">
      <c r="A62" t="s">
        <v>184</v>
      </c>
      <c r="B62" t="s">
        <v>446</v>
      </c>
      <c r="C62" t="s">
        <v>693</v>
      </c>
      <c r="I62" s="4" t="str">
        <f t="shared" ca="1" si="6"/>
        <v/>
      </c>
      <c r="J62" s="4" t="str">
        <f t="shared" ca="1" si="7"/>
        <v/>
      </c>
      <c r="K62" s="4" t="str">
        <f t="shared" ca="1" si="0"/>
        <v/>
      </c>
      <c r="L62" s="4" t="str">
        <f t="shared" ca="1" si="1"/>
        <v/>
      </c>
      <c r="M62" s="4" t="str">
        <f t="shared" ca="1" si="2"/>
        <v/>
      </c>
      <c r="N62" s="4" t="str">
        <f t="shared" ca="1" si="3"/>
        <v/>
      </c>
      <c r="O62" s="4" t="str">
        <f t="shared" ca="1" si="4"/>
        <v/>
      </c>
      <c r="P62" s="4" t="str">
        <f t="shared" ca="1" si="5"/>
        <v/>
      </c>
    </row>
    <row r="63" spans="1:16" ht="14.25">
      <c r="A63" t="s">
        <v>186</v>
      </c>
      <c r="B63" t="s">
        <v>447</v>
      </c>
      <c r="C63" t="s">
        <v>694</v>
      </c>
      <c r="I63" s="4" t="str">
        <f t="shared" ca="1" si="6"/>
        <v/>
      </c>
      <c r="J63" s="4" t="str">
        <f t="shared" ca="1" si="7"/>
        <v/>
      </c>
      <c r="K63" s="4" t="str">
        <f t="shared" ca="1" si="0"/>
        <v/>
      </c>
      <c r="L63" s="4" t="str">
        <f t="shared" ca="1" si="1"/>
        <v/>
      </c>
      <c r="M63" s="4" t="str">
        <f t="shared" ca="1" si="2"/>
        <v/>
      </c>
      <c r="N63" s="4" t="str">
        <f t="shared" ca="1" si="3"/>
        <v/>
      </c>
      <c r="O63" s="4" t="str">
        <f t="shared" ca="1" si="4"/>
        <v/>
      </c>
      <c r="P63" s="4" t="str">
        <f t="shared" ca="1" si="5"/>
        <v/>
      </c>
    </row>
    <row r="64" spans="1:16" ht="14.25">
      <c r="A64" t="s">
        <v>187</v>
      </c>
      <c r="B64" t="s">
        <v>448</v>
      </c>
      <c r="C64" t="s">
        <v>695</v>
      </c>
      <c r="I64" s="4" t="str">
        <f t="shared" ca="1" si="6"/>
        <v/>
      </c>
      <c r="J64" s="4" t="str">
        <f t="shared" ca="1" si="7"/>
        <v/>
      </c>
      <c r="K64" s="4" t="str">
        <f t="shared" ca="1" si="0"/>
        <v/>
      </c>
      <c r="L64" s="4" t="str">
        <f t="shared" ca="1" si="1"/>
        <v/>
      </c>
      <c r="M64" s="4" t="str">
        <f t="shared" ca="1" si="2"/>
        <v/>
      </c>
      <c r="N64" s="4" t="str">
        <f t="shared" ca="1" si="3"/>
        <v/>
      </c>
      <c r="O64" s="4" t="str">
        <f t="shared" ca="1" si="4"/>
        <v/>
      </c>
      <c r="P64" s="4" t="str">
        <f t="shared" ca="1" si="5"/>
        <v/>
      </c>
    </row>
    <row r="65" spans="1:16" ht="14.25">
      <c r="A65" t="s">
        <v>188</v>
      </c>
      <c r="B65" t="s">
        <v>1099</v>
      </c>
      <c r="C65" t="s">
        <v>1100</v>
      </c>
      <c r="I65" s="4" t="str">
        <f t="shared" ca="1" si="6"/>
        <v/>
      </c>
      <c r="J65" s="4" t="str">
        <f t="shared" ca="1" si="7"/>
        <v/>
      </c>
      <c r="K65" s="4" t="str">
        <f t="shared" ca="1" si="0"/>
        <v/>
      </c>
      <c r="L65" s="4" t="str">
        <f t="shared" ca="1" si="1"/>
        <v/>
      </c>
      <c r="M65" s="4" t="str">
        <f t="shared" ca="1" si="2"/>
        <v/>
      </c>
      <c r="N65" s="4" t="str">
        <f t="shared" ca="1" si="3"/>
        <v/>
      </c>
      <c r="O65" s="4" t="str">
        <f t="shared" ca="1" si="4"/>
        <v/>
      </c>
      <c r="P65" s="4" t="str">
        <f t="shared" ca="1" si="5"/>
        <v/>
      </c>
    </row>
    <row r="66" spans="1:16" ht="14.25">
      <c r="A66" t="s">
        <v>189</v>
      </c>
      <c r="B66" t="s">
        <v>1101</v>
      </c>
      <c r="C66" t="s">
        <v>1102</v>
      </c>
      <c r="I66" s="4">
        <f t="shared" ca="1" si="6"/>
        <v>2066</v>
      </c>
      <c r="J66" s="4">
        <f t="shared" ca="1" si="7"/>
        <v>2</v>
      </c>
      <c r="K66" s="4" t="str">
        <f t="shared" ca="1" si="0"/>
        <v/>
      </c>
      <c r="L66" s="4">
        <f t="shared" ca="1" si="1"/>
        <v>2</v>
      </c>
      <c r="M66" s="4" t="str">
        <f t="shared" ca="1" si="2"/>
        <v/>
      </c>
      <c r="N66" s="4" t="str">
        <f t="shared" ca="1" si="3"/>
        <v/>
      </c>
      <c r="O66" s="4" t="str">
        <f t="shared" ca="1" si="4"/>
        <v/>
      </c>
      <c r="P66" s="4" t="str">
        <f t="shared" ca="1" si="5"/>
        <v/>
      </c>
    </row>
    <row r="67" spans="1:16" ht="14.25">
      <c r="A67" t="s">
        <v>191</v>
      </c>
      <c r="B67" t="s">
        <v>449</v>
      </c>
      <c r="C67" t="s">
        <v>696</v>
      </c>
      <c r="I67" s="4" t="str">
        <f t="shared" ca="1" si="6"/>
        <v/>
      </c>
      <c r="J67" s="4" t="str">
        <f t="shared" ca="1" si="7"/>
        <v/>
      </c>
      <c r="K67" s="4" t="str">
        <f t="shared" ref="K67:K130" ca="1" si="8">IF(ISERROR(SEARCH($B$1,B67)),"",SEARCH($B$1,B67))</f>
        <v/>
      </c>
      <c r="L67" s="4" t="str">
        <f t="shared" ref="L67:L130" ca="1" si="9">IF(ISERROR(SEARCH($B$1,C67)),"",SEARCH($B$1,C67))</f>
        <v/>
      </c>
      <c r="M67" s="4" t="str">
        <f t="shared" ref="M67:M130" ca="1" si="10">IF(ISERROR(SEARCH($B$1,D67)),"",SEARCH($B$1,D67))</f>
        <v/>
      </c>
      <c r="N67" s="4" t="str">
        <f t="shared" ref="N67:N130" ca="1" si="11">IF(ISERROR(SEARCH($B$1,E67)),"",SEARCH($B$1,E67))</f>
        <v/>
      </c>
      <c r="O67" s="4" t="str">
        <f t="shared" ref="O67:O130" ca="1" si="12">IF(ISERROR(SEARCH($B$1,F67)),"",SEARCH($B$1,F67))</f>
        <v/>
      </c>
      <c r="P67" s="4" t="str">
        <f t="shared" ref="P67:P130" ca="1" si="13">IF(ISERROR(SEARCH($B$1,G67)),"",SEARCH($B$1,G67))</f>
        <v/>
      </c>
    </row>
    <row r="68" spans="1:16" ht="14.25">
      <c r="A68" t="s">
        <v>193</v>
      </c>
      <c r="B68" t="s">
        <v>1103</v>
      </c>
      <c r="C68" t="s">
        <v>1104</v>
      </c>
      <c r="I68" s="4" t="str">
        <f t="shared" ref="I68:I131" ca="1" si="14">IF(MAX(J68:P68)=0,"",MIN(J68:P68)*1000+ROW())</f>
        <v/>
      </c>
      <c r="J68" s="4" t="str">
        <f t="shared" ref="J68:J131" ca="1" si="15">IF(ISERROR(SEARCH($B$1,A68)),"",SEARCH($B$1,A68))</f>
        <v/>
      </c>
      <c r="K68" s="4" t="str">
        <f t="shared" ca="1" si="8"/>
        <v/>
      </c>
      <c r="L68" s="4" t="str">
        <f t="shared" ca="1" si="9"/>
        <v/>
      </c>
      <c r="M68" s="4" t="str">
        <f t="shared" ca="1" si="10"/>
        <v/>
      </c>
      <c r="N68" s="4" t="str">
        <f t="shared" ca="1" si="11"/>
        <v/>
      </c>
      <c r="O68" s="4" t="str">
        <f t="shared" ca="1" si="12"/>
        <v/>
      </c>
      <c r="P68" s="4" t="str">
        <f t="shared" ca="1" si="13"/>
        <v/>
      </c>
    </row>
    <row r="69" spans="1:16" ht="14.25">
      <c r="A69" t="s">
        <v>194</v>
      </c>
      <c r="B69" t="s">
        <v>1105</v>
      </c>
      <c r="C69" t="s">
        <v>1106</v>
      </c>
      <c r="I69" s="4" t="str">
        <f t="shared" ca="1" si="14"/>
        <v/>
      </c>
      <c r="J69" s="4" t="str">
        <f t="shared" ca="1" si="15"/>
        <v/>
      </c>
      <c r="K69" s="4" t="str">
        <f t="shared" ca="1" si="8"/>
        <v/>
      </c>
      <c r="L69" s="4" t="str">
        <f t="shared" ca="1" si="9"/>
        <v/>
      </c>
      <c r="M69" s="4" t="str">
        <f t="shared" ca="1" si="10"/>
        <v/>
      </c>
      <c r="N69" s="4" t="str">
        <f t="shared" ca="1" si="11"/>
        <v/>
      </c>
      <c r="O69" s="4" t="str">
        <f t="shared" ca="1" si="12"/>
        <v/>
      </c>
      <c r="P69" s="4" t="str">
        <f t="shared" ca="1" si="13"/>
        <v/>
      </c>
    </row>
    <row r="70" spans="1:16" ht="14.25">
      <c r="A70" t="s">
        <v>195</v>
      </c>
      <c r="B70" t="s">
        <v>1090</v>
      </c>
      <c r="C70" t="s">
        <v>1095</v>
      </c>
      <c r="I70" s="4" t="str">
        <f t="shared" ca="1" si="14"/>
        <v/>
      </c>
      <c r="J70" s="4" t="str">
        <f t="shared" ca="1" si="15"/>
        <v/>
      </c>
      <c r="K70" s="4" t="str">
        <f t="shared" ca="1" si="8"/>
        <v/>
      </c>
      <c r="L70" s="4" t="str">
        <f t="shared" ca="1" si="9"/>
        <v/>
      </c>
      <c r="M70" s="4" t="str">
        <f t="shared" ca="1" si="10"/>
        <v/>
      </c>
      <c r="N70" s="4" t="str">
        <f t="shared" ca="1" si="11"/>
        <v/>
      </c>
      <c r="O70" s="4" t="str">
        <f t="shared" ca="1" si="12"/>
        <v/>
      </c>
      <c r="P70" s="4" t="str">
        <f t="shared" ca="1" si="13"/>
        <v/>
      </c>
    </row>
    <row r="71" spans="1:16" ht="14.25">
      <c r="A71" t="s">
        <v>196</v>
      </c>
      <c r="B71" t="s">
        <v>1091</v>
      </c>
      <c r="C71" t="s">
        <v>1107</v>
      </c>
      <c r="I71" s="4" t="str">
        <f t="shared" ca="1" si="14"/>
        <v/>
      </c>
      <c r="J71" s="4" t="str">
        <f t="shared" ca="1" si="15"/>
        <v/>
      </c>
      <c r="K71" s="4" t="str">
        <f t="shared" ca="1" si="8"/>
        <v/>
      </c>
      <c r="L71" s="4" t="str">
        <f t="shared" ca="1" si="9"/>
        <v/>
      </c>
      <c r="M71" s="4" t="str">
        <f t="shared" ca="1" si="10"/>
        <v/>
      </c>
      <c r="N71" s="4" t="str">
        <f t="shared" ca="1" si="11"/>
        <v/>
      </c>
      <c r="O71" s="4" t="str">
        <f t="shared" ca="1" si="12"/>
        <v/>
      </c>
      <c r="P71" s="4" t="str">
        <f t="shared" ca="1" si="13"/>
        <v/>
      </c>
    </row>
    <row r="72" spans="1:16" ht="14.25">
      <c r="A72" t="s">
        <v>198</v>
      </c>
      <c r="B72" t="s">
        <v>450</v>
      </c>
      <c r="C72" t="s">
        <v>697</v>
      </c>
      <c r="I72" s="4" t="str">
        <f t="shared" ca="1" si="14"/>
        <v/>
      </c>
      <c r="J72" s="4" t="str">
        <f t="shared" ca="1" si="15"/>
        <v/>
      </c>
      <c r="K72" s="4" t="str">
        <f t="shared" ca="1" si="8"/>
        <v/>
      </c>
      <c r="L72" s="4" t="str">
        <f t="shared" ca="1" si="9"/>
        <v/>
      </c>
      <c r="M72" s="4" t="str">
        <f t="shared" ca="1" si="10"/>
        <v/>
      </c>
      <c r="N72" s="4" t="str">
        <f t="shared" ca="1" si="11"/>
        <v/>
      </c>
      <c r="O72" s="4" t="str">
        <f t="shared" ca="1" si="12"/>
        <v/>
      </c>
      <c r="P72" s="4" t="str">
        <f t="shared" ca="1" si="13"/>
        <v/>
      </c>
    </row>
    <row r="73" spans="1:16" ht="14.25">
      <c r="A73" t="s">
        <v>201</v>
      </c>
      <c r="B73" t="s">
        <v>451</v>
      </c>
      <c r="C73" t="s">
        <v>698</v>
      </c>
      <c r="I73" s="4" t="str">
        <f t="shared" ca="1" si="14"/>
        <v/>
      </c>
      <c r="J73" s="4" t="str">
        <f t="shared" ca="1" si="15"/>
        <v/>
      </c>
      <c r="K73" s="4" t="str">
        <f t="shared" ca="1" si="8"/>
        <v/>
      </c>
      <c r="L73" s="4" t="str">
        <f t="shared" ca="1" si="9"/>
        <v/>
      </c>
      <c r="M73" s="4" t="str">
        <f t="shared" ca="1" si="10"/>
        <v/>
      </c>
      <c r="N73" s="4" t="str">
        <f t="shared" ca="1" si="11"/>
        <v/>
      </c>
      <c r="O73" s="4" t="str">
        <f t="shared" ca="1" si="12"/>
        <v/>
      </c>
      <c r="P73" s="4" t="str">
        <f t="shared" ca="1" si="13"/>
        <v/>
      </c>
    </row>
    <row r="74" spans="1:16" ht="14.25">
      <c r="A74" t="s">
        <v>202</v>
      </c>
      <c r="B74" t="s">
        <v>452</v>
      </c>
      <c r="C74" t="s">
        <v>699</v>
      </c>
      <c r="I74" s="4" t="str">
        <f t="shared" ca="1" si="14"/>
        <v/>
      </c>
      <c r="J74" s="4" t="str">
        <f t="shared" ca="1" si="15"/>
        <v/>
      </c>
      <c r="K74" s="4" t="str">
        <f t="shared" ca="1" si="8"/>
        <v/>
      </c>
      <c r="L74" s="4" t="str">
        <f t="shared" ca="1" si="9"/>
        <v/>
      </c>
      <c r="M74" s="4" t="str">
        <f t="shared" ca="1" si="10"/>
        <v/>
      </c>
      <c r="N74" s="4" t="str">
        <f t="shared" ca="1" si="11"/>
        <v/>
      </c>
      <c r="O74" s="4" t="str">
        <f t="shared" ca="1" si="12"/>
        <v/>
      </c>
      <c r="P74" s="4" t="str">
        <f t="shared" ca="1" si="13"/>
        <v/>
      </c>
    </row>
    <row r="75" spans="1:16" ht="14.25">
      <c r="A75" t="s">
        <v>205</v>
      </c>
      <c r="B75" t="s">
        <v>453</v>
      </c>
      <c r="C75" t="s">
        <v>700</v>
      </c>
      <c r="I75" s="4" t="str">
        <f t="shared" ca="1" si="14"/>
        <v/>
      </c>
      <c r="J75" s="4" t="str">
        <f t="shared" ca="1" si="15"/>
        <v/>
      </c>
      <c r="K75" s="4" t="str">
        <f t="shared" ca="1" si="8"/>
        <v/>
      </c>
      <c r="L75" s="4" t="str">
        <f t="shared" ca="1" si="9"/>
        <v/>
      </c>
      <c r="M75" s="4" t="str">
        <f t="shared" ca="1" si="10"/>
        <v/>
      </c>
      <c r="N75" s="4" t="str">
        <f t="shared" ca="1" si="11"/>
        <v/>
      </c>
      <c r="O75" s="4" t="str">
        <f t="shared" ca="1" si="12"/>
        <v/>
      </c>
      <c r="P75" s="4" t="str">
        <f t="shared" ca="1" si="13"/>
        <v/>
      </c>
    </row>
    <row r="76" spans="1:16" ht="14.25">
      <c r="A76" t="s">
        <v>207</v>
      </c>
      <c r="B76" t="s">
        <v>454</v>
      </c>
      <c r="C76" t="s">
        <v>701</v>
      </c>
      <c r="I76" s="4" t="str">
        <f t="shared" ca="1" si="14"/>
        <v/>
      </c>
      <c r="J76" s="4" t="str">
        <f t="shared" ca="1" si="15"/>
        <v/>
      </c>
      <c r="K76" s="4" t="str">
        <f t="shared" ca="1" si="8"/>
        <v/>
      </c>
      <c r="L76" s="4" t="str">
        <f t="shared" ca="1" si="9"/>
        <v/>
      </c>
      <c r="M76" s="4" t="str">
        <f t="shared" ca="1" si="10"/>
        <v/>
      </c>
      <c r="N76" s="4" t="str">
        <f t="shared" ca="1" si="11"/>
        <v/>
      </c>
      <c r="O76" s="4" t="str">
        <f t="shared" ca="1" si="12"/>
        <v/>
      </c>
      <c r="P76" s="4" t="str">
        <f t="shared" ca="1" si="13"/>
        <v/>
      </c>
    </row>
    <row r="77" spans="1:16" ht="14.25">
      <c r="A77" t="s">
        <v>208</v>
      </c>
      <c r="B77" t="s">
        <v>455</v>
      </c>
      <c r="C77" t="s">
        <v>702</v>
      </c>
      <c r="I77" s="4" t="str">
        <f t="shared" ca="1" si="14"/>
        <v/>
      </c>
      <c r="J77" s="4" t="str">
        <f t="shared" ca="1" si="15"/>
        <v/>
      </c>
      <c r="K77" s="4" t="str">
        <f t="shared" ca="1" si="8"/>
        <v/>
      </c>
      <c r="L77" s="4" t="str">
        <f t="shared" ca="1" si="9"/>
        <v/>
      </c>
      <c r="M77" s="4" t="str">
        <f t="shared" ca="1" si="10"/>
        <v/>
      </c>
      <c r="N77" s="4" t="str">
        <f t="shared" ca="1" si="11"/>
        <v/>
      </c>
      <c r="O77" s="4" t="str">
        <f t="shared" ca="1" si="12"/>
        <v/>
      </c>
      <c r="P77" s="4" t="str">
        <f t="shared" ca="1" si="13"/>
        <v/>
      </c>
    </row>
    <row r="78" spans="1:16" ht="14.25">
      <c r="A78" t="s">
        <v>209</v>
      </c>
      <c r="B78" t="s">
        <v>456</v>
      </c>
      <c r="C78" t="s">
        <v>703</v>
      </c>
      <c r="I78" s="4" t="str">
        <f t="shared" ca="1" si="14"/>
        <v/>
      </c>
      <c r="J78" s="4" t="str">
        <f t="shared" ca="1" si="15"/>
        <v/>
      </c>
      <c r="K78" s="4" t="str">
        <f t="shared" ca="1" si="8"/>
        <v/>
      </c>
      <c r="L78" s="4" t="str">
        <f t="shared" ca="1" si="9"/>
        <v/>
      </c>
      <c r="M78" s="4" t="str">
        <f t="shared" ca="1" si="10"/>
        <v/>
      </c>
      <c r="N78" s="4" t="str">
        <f t="shared" ca="1" si="11"/>
        <v/>
      </c>
      <c r="O78" s="4" t="str">
        <f t="shared" ca="1" si="12"/>
        <v/>
      </c>
      <c r="P78" s="4" t="str">
        <f t="shared" ca="1" si="13"/>
        <v/>
      </c>
    </row>
    <row r="79" spans="1:16" ht="14.25">
      <c r="A79" t="s">
        <v>210</v>
      </c>
      <c r="B79" t="s">
        <v>457</v>
      </c>
      <c r="C79" t="s">
        <v>704</v>
      </c>
      <c r="I79" s="4" t="str">
        <f t="shared" ca="1" si="14"/>
        <v/>
      </c>
      <c r="J79" s="4" t="str">
        <f t="shared" ca="1" si="15"/>
        <v/>
      </c>
      <c r="K79" s="4" t="str">
        <f t="shared" ca="1" si="8"/>
        <v/>
      </c>
      <c r="L79" s="4" t="str">
        <f t="shared" ca="1" si="9"/>
        <v/>
      </c>
      <c r="M79" s="4" t="str">
        <f t="shared" ca="1" si="10"/>
        <v/>
      </c>
      <c r="N79" s="4" t="str">
        <f t="shared" ca="1" si="11"/>
        <v/>
      </c>
      <c r="O79" s="4" t="str">
        <f t="shared" ca="1" si="12"/>
        <v/>
      </c>
      <c r="P79" s="4" t="str">
        <f t="shared" ca="1" si="13"/>
        <v/>
      </c>
    </row>
    <row r="80" spans="1:16" ht="14.25">
      <c r="A80" t="s">
        <v>211</v>
      </c>
      <c r="B80" t="s">
        <v>458</v>
      </c>
      <c r="C80" t="s">
        <v>705</v>
      </c>
      <c r="I80" s="4" t="str">
        <f t="shared" ca="1" si="14"/>
        <v/>
      </c>
      <c r="J80" s="4" t="str">
        <f t="shared" ca="1" si="15"/>
        <v/>
      </c>
      <c r="K80" s="4" t="str">
        <f t="shared" ca="1" si="8"/>
        <v/>
      </c>
      <c r="L80" s="4" t="str">
        <f t="shared" ca="1" si="9"/>
        <v/>
      </c>
      <c r="M80" s="4" t="str">
        <f t="shared" ca="1" si="10"/>
        <v/>
      </c>
      <c r="N80" s="4" t="str">
        <f t="shared" ca="1" si="11"/>
        <v/>
      </c>
      <c r="O80" s="4" t="str">
        <f t="shared" ca="1" si="12"/>
        <v/>
      </c>
      <c r="P80" s="4" t="str">
        <f t="shared" ca="1" si="13"/>
        <v/>
      </c>
    </row>
    <row r="81" spans="1:16" ht="14.25">
      <c r="A81" t="s">
        <v>212</v>
      </c>
      <c r="B81" t="s">
        <v>459</v>
      </c>
      <c r="C81" t="s">
        <v>706</v>
      </c>
      <c r="I81" s="4" t="str">
        <f t="shared" ca="1" si="14"/>
        <v/>
      </c>
      <c r="J81" s="4" t="str">
        <f t="shared" ca="1" si="15"/>
        <v/>
      </c>
      <c r="K81" s="4" t="str">
        <f t="shared" ca="1" si="8"/>
        <v/>
      </c>
      <c r="L81" s="4" t="str">
        <f t="shared" ca="1" si="9"/>
        <v/>
      </c>
      <c r="M81" s="4" t="str">
        <f t="shared" ca="1" si="10"/>
        <v/>
      </c>
      <c r="N81" s="4" t="str">
        <f t="shared" ca="1" si="11"/>
        <v/>
      </c>
      <c r="O81" s="4" t="str">
        <f t="shared" ca="1" si="12"/>
        <v/>
      </c>
      <c r="P81" s="4" t="str">
        <f t="shared" ca="1" si="13"/>
        <v/>
      </c>
    </row>
    <row r="82" spans="1:16" ht="14.25">
      <c r="A82" t="s">
        <v>213</v>
      </c>
      <c r="B82" t="s">
        <v>460</v>
      </c>
      <c r="C82" t="s">
        <v>707</v>
      </c>
      <c r="I82" s="4" t="str">
        <f t="shared" ca="1" si="14"/>
        <v/>
      </c>
      <c r="J82" s="4" t="str">
        <f t="shared" ca="1" si="15"/>
        <v/>
      </c>
      <c r="K82" s="4" t="str">
        <f t="shared" ca="1" si="8"/>
        <v/>
      </c>
      <c r="L82" s="4" t="str">
        <f t="shared" ca="1" si="9"/>
        <v/>
      </c>
      <c r="M82" s="4" t="str">
        <f t="shared" ca="1" si="10"/>
        <v/>
      </c>
      <c r="N82" s="4" t="str">
        <f t="shared" ca="1" si="11"/>
        <v/>
      </c>
      <c r="O82" s="4" t="str">
        <f t="shared" ca="1" si="12"/>
        <v/>
      </c>
      <c r="P82" s="4" t="str">
        <f t="shared" ca="1" si="13"/>
        <v/>
      </c>
    </row>
    <row r="83" spans="1:16" ht="14.25">
      <c r="A83" t="s">
        <v>215</v>
      </c>
      <c r="B83" t="s">
        <v>461</v>
      </c>
      <c r="C83" t="s">
        <v>708</v>
      </c>
      <c r="I83" s="4" t="str">
        <f t="shared" ca="1" si="14"/>
        <v/>
      </c>
      <c r="J83" s="4" t="str">
        <f t="shared" ca="1" si="15"/>
        <v/>
      </c>
      <c r="K83" s="4" t="str">
        <f t="shared" ca="1" si="8"/>
        <v/>
      </c>
      <c r="L83" s="4" t="str">
        <f t="shared" ca="1" si="9"/>
        <v/>
      </c>
      <c r="M83" s="4" t="str">
        <f t="shared" ca="1" si="10"/>
        <v/>
      </c>
      <c r="N83" s="4" t="str">
        <f t="shared" ca="1" si="11"/>
        <v/>
      </c>
      <c r="O83" s="4" t="str">
        <f t="shared" ca="1" si="12"/>
        <v/>
      </c>
      <c r="P83" s="4" t="str">
        <f t="shared" ca="1" si="13"/>
        <v/>
      </c>
    </row>
    <row r="84" spans="1:16" ht="14.25">
      <c r="A84" t="s">
        <v>217</v>
      </c>
      <c r="B84" t="s">
        <v>462</v>
      </c>
      <c r="C84" t="s">
        <v>709</v>
      </c>
      <c r="I84" s="4" t="str">
        <f t="shared" ca="1" si="14"/>
        <v/>
      </c>
      <c r="J84" s="4" t="str">
        <f t="shared" ca="1" si="15"/>
        <v/>
      </c>
      <c r="K84" s="4" t="str">
        <f t="shared" ca="1" si="8"/>
        <v/>
      </c>
      <c r="L84" s="4" t="str">
        <f t="shared" ca="1" si="9"/>
        <v/>
      </c>
      <c r="M84" s="4" t="str">
        <f t="shared" ca="1" si="10"/>
        <v/>
      </c>
      <c r="N84" s="4" t="str">
        <f t="shared" ca="1" si="11"/>
        <v/>
      </c>
      <c r="O84" s="4" t="str">
        <f t="shared" ca="1" si="12"/>
        <v/>
      </c>
      <c r="P84" s="4" t="str">
        <f t="shared" ca="1" si="13"/>
        <v/>
      </c>
    </row>
    <row r="85" spans="1:16" ht="14.25">
      <c r="A85" t="s">
        <v>218</v>
      </c>
      <c r="B85" t="s">
        <v>463</v>
      </c>
      <c r="C85" t="s">
        <v>710</v>
      </c>
      <c r="I85" s="4" t="str">
        <f t="shared" ca="1" si="14"/>
        <v/>
      </c>
      <c r="J85" s="4" t="str">
        <f t="shared" ca="1" si="15"/>
        <v/>
      </c>
      <c r="K85" s="4" t="str">
        <f t="shared" ca="1" si="8"/>
        <v/>
      </c>
      <c r="L85" s="4" t="str">
        <f t="shared" ca="1" si="9"/>
        <v/>
      </c>
      <c r="M85" s="4" t="str">
        <f t="shared" ca="1" si="10"/>
        <v/>
      </c>
      <c r="N85" s="4" t="str">
        <f t="shared" ca="1" si="11"/>
        <v/>
      </c>
      <c r="O85" s="4" t="str">
        <f t="shared" ca="1" si="12"/>
        <v/>
      </c>
      <c r="P85" s="4" t="str">
        <f t="shared" ca="1" si="13"/>
        <v/>
      </c>
    </row>
    <row r="86" spans="1:16" ht="14.25">
      <c r="A86" t="s">
        <v>219</v>
      </c>
      <c r="B86" t="s">
        <v>637</v>
      </c>
      <c r="C86" t="s">
        <v>711</v>
      </c>
      <c r="D86" t="s">
        <v>641</v>
      </c>
      <c r="E86" t="s">
        <v>1024</v>
      </c>
      <c r="I86" s="4" t="str">
        <f t="shared" ca="1" si="14"/>
        <v/>
      </c>
      <c r="J86" s="4" t="str">
        <f t="shared" ca="1" si="15"/>
        <v/>
      </c>
      <c r="K86" s="4" t="str">
        <f t="shared" ca="1" si="8"/>
        <v/>
      </c>
      <c r="L86" s="4" t="str">
        <f t="shared" ca="1" si="9"/>
        <v/>
      </c>
      <c r="M86" s="4" t="str">
        <f t="shared" ca="1" si="10"/>
        <v/>
      </c>
      <c r="N86" s="4" t="str">
        <f t="shared" ca="1" si="11"/>
        <v/>
      </c>
      <c r="O86" s="4" t="str">
        <f t="shared" ca="1" si="12"/>
        <v/>
      </c>
      <c r="P86" s="4" t="str">
        <f t="shared" ca="1" si="13"/>
        <v/>
      </c>
    </row>
    <row r="87" spans="1:16" ht="14.25">
      <c r="A87" t="s">
        <v>220</v>
      </c>
      <c r="B87" t="s">
        <v>464</v>
      </c>
      <c r="C87" t="s">
        <v>712</v>
      </c>
      <c r="I87" s="4" t="str">
        <f t="shared" ca="1" si="14"/>
        <v/>
      </c>
      <c r="J87" s="4" t="str">
        <f t="shared" ca="1" si="15"/>
        <v/>
      </c>
      <c r="K87" s="4" t="str">
        <f t="shared" ca="1" si="8"/>
        <v/>
      </c>
      <c r="L87" s="4" t="str">
        <f t="shared" ca="1" si="9"/>
        <v/>
      </c>
      <c r="M87" s="4" t="str">
        <f t="shared" ca="1" si="10"/>
        <v/>
      </c>
      <c r="N87" s="4" t="str">
        <f t="shared" ca="1" si="11"/>
        <v/>
      </c>
      <c r="O87" s="4" t="str">
        <f t="shared" ca="1" si="12"/>
        <v/>
      </c>
      <c r="P87" s="4" t="str">
        <f t="shared" ca="1" si="13"/>
        <v/>
      </c>
    </row>
    <row r="88" spans="1:16" ht="14.25">
      <c r="A88" t="s">
        <v>221</v>
      </c>
      <c r="B88" t="s">
        <v>878</v>
      </c>
      <c r="C88" t="s">
        <v>931</v>
      </c>
      <c r="I88" s="4" t="str">
        <f t="shared" ca="1" si="14"/>
        <v/>
      </c>
      <c r="J88" s="4" t="str">
        <f t="shared" ca="1" si="15"/>
        <v/>
      </c>
      <c r="K88" s="4" t="str">
        <f t="shared" ca="1" si="8"/>
        <v/>
      </c>
      <c r="L88" s="4" t="str">
        <f t="shared" ca="1" si="9"/>
        <v/>
      </c>
      <c r="M88" s="4" t="str">
        <f t="shared" ca="1" si="10"/>
        <v/>
      </c>
      <c r="N88" s="4" t="str">
        <f t="shared" ca="1" si="11"/>
        <v/>
      </c>
      <c r="O88" s="4" t="str">
        <f t="shared" ca="1" si="12"/>
        <v/>
      </c>
      <c r="P88" s="4" t="str">
        <f t="shared" ca="1" si="13"/>
        <v/>
      </c>
    </row>
    <row r="89" spans="1:16" ht="14.25">
      <c r="A89" t="s">
        <v>222</v>
      </c>
      <c r="B89" t="s">
        <v>465</v>
      </c>
      <c r="C89" t="s">
        <v>713</v>
      </c>
      <c r="I89" s="4" t="str">
        <f t="shared" ca="1" si="14"/>
        <v/>
      </c>
      <c r="J89" s="4" t="str">
        <f t="shared" ca="1" si="15"/>
        <v/>
      </c>
      <c r="K89" s="4" t="str">
        <f t="shared" ca="1" si="8"/>
        <v/>
      </c>
      <c r="L89" s="4" t="str">
        <f t="shared" ca="1" si="9"/>
        <v/>
      </c>
      <c r="M89" s="4" t="str">
        <f t="shared" ca="1" si="10"/>
        <v/>
      </c>
      <c r="N89" s="4" t="str">
        <f t="shared" ca="1" si="11"/>
        <v/>
      </c>
      <c r="O89" s="4" t="str">
        <f t="shared" ca="1" si="12"/>
        <v/>
      </c>
      <c r="P89" s="4" t="str">
        <f t="shared" ca="1" si="13"/>
        <v/>
      </c>
    </row>
    <row r="90" spans="1:16" ht="14.25">
      <c r="A90" t="s">
        <v>224</v>
      </c>
      <c r="B90" t="s">
        <v>466</v>
      </c>
      <c r="C90" t="s">
        <v>714</v>
      </c>
      <c r="I90" s="4" t="str">
        <f t="shared" ca="1" si="14"/>
        <v/>
      </c>
      <c r="J90" s="4" t="str">
        <f t="shared" ca="1" si="15"/>
        <v/>
      </c>
      <c r="K90" s="4" t="str">
        <f t="shared" ca="1" si="8"/>
        <v/>
      </c>
      <c r="L90" s="4" t="str">
        <f t="shared" ca="1" si="9"/>
        <v/>
      </c>
      <c r="M90" s="4" t="str">
        <f t="shared" ca="1" si="10"/>
        <v/>
      </c>
      <c r="N90" s="4" t="str">
        <f t="shared" ca="1" si="11"/>
        <v/>
      </c>
      <c r="O90" s="4" t="str">
        <f t="shared" ca="1" si="12"/>
        <v/>
      </c>
      <c r="P90" s="4" t="str">
        <f t="shared" ca="1" si="13"/>
        <v/>
      </c>
    </row>
    <row r="91" spans="1:16" ht="14.25">
      <c r="I91" s="4" t="str">
        <f t="shared" ca="1" si="14"/>
        <v/>
      </c>
      <c r="J91" s="4" t="str">
        <f t="shared" ca="1" si="15"/>
        <v/>
      </c>
      <c r="K91" s="4" t="str">
        <f t="shared" ca="1" si="8"/>
        <v/>
      </c>
      <c r="L91" s="4" t="str">
        <f t="shared" ca="1" si="9"/>
        <v/>
      </c>
      <c r="M91" s="4" t="str">
        <f t="shared" ca="1" si="10"/>
        <v/>
      </c>
      <c r="N91" s="4" t="str">
        <f t="shared" ca="1" si="11"/>
        <v/>
      </c>
      <c r="O91" s="4" t="str">
        <f t="shared" ca="1" si="12"/>
        <v/>
      </c>
      <c r="P91" s="4" t="str">
        <f t="shared" ca="1" si="13"/>
        <v/>
      </c>
    </row>
    <row r="92" spans="1:16" ht="14.25">
      <c r="A92" t="s">
        <v>225</v>
      </c>
      <c r="B92" t="s">
        <v>467</v>
      </c>
      <c r="C92" t="s">
        <v>715</v>
      </c>
      <c r="I92" s="4" t="str">
        <f t="shared" ca="1" si="14"/>
        <v/>
      </c>
      <c r="J92" s="4" t="str">
        <f t="shared" ca="1" si="15"/>
        <v/>
      </c>
      <c r="K92" s="4" t="str">
        <f t="shared" ca="1" si="8"/>
        <v/>
      </c>
      <c r="L92" s="4" t="str">
        <f t="shared" ca="1" si="9"/>
        <v/>
      </c>
      <c r="M92" s="4" t="str">
        <f t="shared" ca="1" si="10"/>
        <v/>
      </c>
      <c r="N92" s="4" t="str">
        <f t="shared" ca="1" si="11"/>
        <v/>
      </c>
      <c r="O92" s="4" t="str">
        <f t="shared" ca="1" si="12"/>
        <v/>
      </c>
      <c r="P92" s="4" t="str">
        <f t="shared" ca="1" si="13"/>
        <v/>
      </c>
    </row>
    <row r="93" spans="1:16" ht="14.25">
      <c r="A93" t="s">
        <v>226</v>
      </c>
      <c r="B93" t="s">
        <v>1092</v>
      </c>
      <c r="C93" t="s">
        <v>1096</v>
      </c>
      <c r="I93" s="4" t="str">
        <f t="shared" ca="1" si="14"/>
        <v/>
      </c>
      <c r="J93" s="4" t="str">
        <f t="shared" ca="1" si="15"/>
        <v/>
      </c>
      <c r="K93" s="4" t="str">
        <f t="shared" ca="1" si="8"/>
        <v/>
      </c>
      <c r="L93" s="4" t="str">
        <f t="shared" ca="1" si="9"/>
        <v/>
      </c>
      <c r="M93" s="4" t="str">
        <f t="shared" ca="1" si="10"/>
        <v/>
      </c>
      <c r="N93" s="4" t="str">
        <f t="shared" ca="1" si="11"/>
        <v/>
      </c>
      <c r="O93" s="4" t="str">
        <f t="shared" ca="1" si="12"/>
        <v/>
      </c>
      <c r="P93" s="4" t="str">
        <f t="shared" ca="1" si="13"/>
        <v/>
      </c>
    </row>
    <row r="94" spans="1:16" ht="14.25">
      <c r="A94" t="s">
        <v>227</v>
      </c>
      <c r="B94" t="s">
        <v>468</v>
      </c>
      <c r="C94" t="s">
        <v>716</v>
      </c>
      <c r="I94" s="4" t="str">
        <f t="shared" ca="1" si="14"/>
        <v/>
      </c>
      <c r="J94" s="4" t="str">
        <f t="shared" ca="1" si="15"/>
        <v/>
      </c>
      <c r="K94" s="4" t="str">
        <f t="shared" ca="1" si="8"/>
        <v/>
      </c>
      <c r="L94" s="4" t="str">
        <f t="shared" ca="1" si="9"/>
        <v/>
      </c>
      <c r="M94" s="4" t="str">
        <f t="shared" ca="1" si="10"/>
        <v/>
      </c>
      <c r="N94" s="4" t="str">
        <f t="shared" ca="1" si="11"/>
        <v/>
      </c>
      <c r="O94" s="4" t="str">
        <f t="shared" ca="1" si="12"/>
        <v/>
      </c>
      <c r="P94" s="4" t="str">
        <f t="shared" ca="1" si="13"/>
        <v/>
      </c>
    </row>
    <row r="95" spans="1:16" ht="14.25">
      <c r="I95" s="4" t="str">
        <f t="shared" ca="1" si="14"/>
        <v/>
      </c>
      <c r="J95" s="4" t="str">
        <f t="shared" ca="1" si="15"/>
        <v/>
      </c>
      <c r="K95" s="4" t="str">
        <f t="shared" ca="1" si="8"/>
        <v/>
      </c>
      <c r="L95" s="4" t="str">
        <f t="shared" ca="1" si="9"/>
        <v/>
      </c>
      <c r="M95" s="4" t="str">
        <f t="shared" ca="1" si="10"/>
        <v/>
      </c>
      <c r="N95" s="4" t="str">
        <f t="shared" ca="1" si="11"/>
        <v/>
      </c>
      <c r="O95" s="4" t="str">
        <f t="shared" ca="1" si="12"/>
        <v/>
      </c>
      <c r="P95" s="4" t="str">
        <f t="shared" ca="1" si="13"/>
        <v/>
      </c>
    </row>
    <row r="96" spans="1:16" ht="14.25">
      <c r="A96" t="s">
        <v>560</v>
      </c>
      <c r="B96" t="s">
        <v>516</v>
      </c>
      <c r="C96" t="s">
        <v>765</v>
      </c>
      <c r="D96" t="s">
        <v>930</v>
      </c>
      <c r="E96" t="s">
        <v>534</v>
      </c>
      <c r="G96" t="s">
        <v>1124</v>
      </c>
      <c r="I96" s="4">
        <f t="shared" ca="1" si="14"/>
        <v>9096</v>
      </c>
      <c r="J96" s="4">
        <f t="shared" ca="1" si="15"/>
        <v>9</v>
      </c>
      <c r="K96" s="4" t="str">
        <f t="shared" ca="1" si="8"/>
        <v/>
      </c>
      <c r="L96" s="4">
        <f t="shared" ca="1" si="9"/>
        <v>15</v>
      </c>
      <c r="M96" s="4" t="str">
        <f t="shared" ca="1" si="10"/>
        <v/>
      </c>
      <c r="N96" s="4" t="str">
        <f t="shared" ca="1" si="11"/>
        <v/>
      </c>
      <c r="O96" s="4" t="str">
        <f t="shared" ca="1" si="12"/>
        <v/>
      </c>
      <c r="P96" s="4" t="str">
        <f t="shared" ca="1" si="13"/>
        <v/>
      </c>
    </row>
    <row r="97" spans="1:16" ht="14.25">
      <c r="A97" t="s">
        <v>834</v>
      </c>
      <c r="B97" t="s">
        <v>517</v>
      </c>
      <c r="C97" t="s">
        <v>766</v>
      </c>
      <c r="D97" t="s">
        <v>930</v>
      </c>
      <c r="E97" t="s">
        <v>534</v>
      </c>
      <c r="G97" t="s">
        <v>1124</v>
      </c>
      <c r="I97" s="4" t="str">
        <f t="shared" ca="1" si="14"/>
        <v/>
      </c>
      <c r="J97" s="4" t="str">
        <f t="shared" ca="1" si="15"/>
        <v/>
      </c>
      <c r="K97" s="4" t="str">
        <f t="shared" ca="1" si="8"/>
        <v/>
      </c>
      <c r="L97" s="4" t="str">
        <f t="shared" ca="1" si="9"/>
        <v/>
      </c>
      <c r="M97" s="4" t="str">
        <f t="shared" ca="1" si="10"/>
        <v/>
      </c>
      <c r="N97" s="4" t="str">
        <f t="shared" ca="1" si="11"/>
        <v/>
      </c>
      <c r="O97" s="4" t="str">
        <f t="shared" ca="1" si="12"/>
        <v/>
      </c>
      <c r="P97" s="4" t="str">
        <f t="shared" ca="1" si="13"/>
        <v/>
      </c>
    </row>
    <row r="98" spans="1:16" ht="14.25">
      <c r="A98" t="s">
        <v>561</v>
      </c>
      <c r="B98" t="s">
        <v>1108</v>
      </c>
      <c r="C98" t="s">
        <v>1111</v>
      </c>
      <c r="D98" t="s">
        <v>1193</v>
      </c>
      <c r="F98" t="s">
        <v>528</v>
      </c>
      <c r="G98" t="s">
        <v>1229</v>
      </c>
      <c r="I98" s="4" t="str">
        <f t="shared" ca="1" si="14"/>
        <v/>
      </c>
      <c r="J98" s="4" t="str">
        <f t="shared" ca="1" si="15"/>
        <v/>
      </c>
      <c r="K98" s="4" t="str">
        <f t="shared" ca="1" si="8"/>
        <v/>
      </c>
      <c r="L98" s="4" t="str">
        <f t="shared" ca="1" si="9"/>
        <v/>
      </c>
      <c r="M98" s="4" t="str">
        <f t="shared" ca="1" si="10"/>
        <v/>
      </c>
      <c r="N98" s="4" t="str">
        <f t="shared" ca="1" si="11"/>
        <v/>
      </c>
      <c r="O98" s="4" t="str">
        <f t="shared" ca="1" si="12"/>
        <v/>
      </c>
      <c r="P98" s="4" t="str">
        <f t="shared" ca="1" si="13"/>
        <v/>
      </c>
    </row>
    <row r="99" spans="1:16" ht="14.25">
      <c r="A99" t="s">
        <v>835</v>
      </c>
      <c r="B99" t="s">
        <v>1109</v>
      </c>
      <c r="C99" t="s">
        <v>1112</v>
      </c>
      <c r="D99" t="s">
        <v>1193</v>
      </c>
      <c r="F99" t="s">
        <v>528</v>
      </c>
      <c r="G99" t="s">
        <v>1229</v>
      </c>
      <c r="I99" s="4" t="str">
        <f t="shared" ca="1" si="14"/>
        <v/>
      </c>
      <c r="J99" s="4" t="str">
        <f t="shared" ca="1" si="15"/>
        <v/>
      </c>
      <c r="K99" s="4" t="str">
        <f t="shared" ca="1" si="8"/>
        <v/>
      </c>
      <c r="L99" s="4" t="str">
        <f t="shared" ca="1" si="9"/>
        <v/>
      </c>
      <c r="M99" s="4" t="str">
        <f t="shared" ca="1" si="10"/>
        <v/>
      </c>
      <c r="N99" s="4" t="str">
        <f t="shared" ca="1" si="11"/>
        <v/>
      </c>
      <c r="O99" s="4" t="str">
        <f t="shared" ca="1" si="12"/>
        <v/>
      </c>
      <c r="P99" s="4" t="str">
        <f t="shared" ca="1" si="13"/>
        <v/>
      </c>
    </row>
    <row r="100" spans="1:16" ht="14.25">
      <c r="A100" t="s">
        <v>836</v>
      </c>
      <c r="B100" t="s">
        <v>1110</v>
      </c>
      <c r="C100" t="s">
        <v>1113</v>
      </c>
      <c r="D100" t="s">
        <v>1193</v>
      </c>
      <c r="F100" t="s">
        <v>528</v>
      </c>
      <c r="G100" t="s">
        <v>1229</v>
      </c>
      <c r="I100" s="4">
        <f t="shared" ca="1" si="14"/>
        <v>11100</v>
      </c>
      <c r="J100" s="4">
        <f t="shared" ca="1" si="15"/>
        <v>11</v>
      </c>
      <c r="K100" s="4" t="str">
        <f t="shared" ca="1" si="8"/>
        <v/>
      </c>
      <c r="L100" s="4">
        <f t="shared" ca="1" si="9"/>
        <v>25</v>
      </c>
      <c r="M100" s="4" t="str">
        <f t="shared" ca="1" si="10"/>
        <v/>
      </c>
      <c r="N100" s="4" t="str">
        <f t="shared" ca="1" si="11"/>
        <v/>
      </c>
      <c r="O100" s="4" t="str">
        <f t="shared" ca="1" si="12"/>
        <v/>
      </c>
      <c r="P100" s="4" t="str">
        <f t="shared" ca="1" si="13"/>
        <v/>
      </c>
    </row>
    <row r="101" spans="1:16" ht="14.25">
      <c r="A101" t="s">
        <v>837</v>
      </c>
      <c r="B101" t="s">
        <v>1115</v>
      </c>
      <c r="C101" t="s">
        <v>1114</v>
      </c>
      <c r="F101" t="s">
        <v>529</v>
      </c>
      <c r="I101" s="4">
        <f t="shared" ca="1" si="14"/>
        <v>8101</v>
      </c>
      <c r="J101" s="4">
        <f t="shared" ca="1" si="15"/>
        <v>8</v>
      </c>
      <c r="K101" s="4" t="str">
        <f t="shared" ca="1" si="8"/>
        <v/>
      </c>
      <c r="L101" s="4">
        <f t="shared" ca="1" si="9"/>
        <v>20</v>
      </c>
      <c r="M101" s="4" t="str">
        <f t="shared" ca="1" si="10"/>
        <v/>
      </c>
      <c r="N101" s="4" t="str">
        <f t="shared" ca="1" si="11"/>
        <v/>
      </c>
      <c r="O101" s="4" t="str">
        <f t="shared" ca="1" si="12"/>
        <v/>
      </c>
      <c r="P101" s="4" t="str">
        <f t="shared" ca="1" si="13"/>
        <v/>
      </c>
    </row>
    <row r="102" spans="1:16" ht="14.25">
      <c r="A102" t="s">
        <v>838</v>
      </c>
      <c r="B102" t="s">
        <v>518</v>
      </c>
      <c r="C102" t="s">
        <v>767</v>
      </c>
      <c r="I102" s="4" t="str">
        <f t="shared" ca="1" si="14"/>
        <v/>
      </c>
      <c r="J102" s="4" t="str">
        <f t="shared" ca="1" si="15"/>
        <v/>
      </c>
      <c r="K102" s="4" t="str">
        <f t="shared" ca="1" si="8"/>
        <v/>
      </c>
      <c r="L102" s="4" t="str">
        <f t="shared" ca="1" si="9"/>
        <v/>
      </c>
      <c r="M102" s="4" t="str">
        <f t="shared" ca="1" si="10"/>
        <v/>
      </c>
      <c r="N102" s="4" t="str">
        <f t="shared" ca="1" si="11"/>
        <v/>
      </c>
      <c r="O102" s="4" t="str">
        <f t="shared" ca="1" si="12"/>
        <v/>
      </c>
      <c r="P102" s="4" t="str">
        <f t="shared" ca="1" si="13"/>
        <v/>
      </c>
    </row>
    <row r="103" spans="1:16" ht="14.25">
      <c r="A103" t="s">
        <v>839</v>
      </c>
      <c r="B103" t="s">
        <v>1116</v>
      </c>
      <c r="C103" t="s">
        <v>1117</v>
      </c>
      <c r="F103" t="s">
        <v>530</v>
      </c>
      <c r="G103" t="s">
        <v>1125</v>
      </c>
      <c r="I103" s="4" t="str">
        <f t="shared" ca="1" si="14"/>
        <v/>
      </c>
      <c r="J103" s="4" t="str">
        <f t="shared" ca="1" si="15"/>
        <v/>
      </c>
      <c r="K103" s="4" t="str">
        <f t="shared" ca="1" si="8"/>
        <v/>
      </c>
      <c r="L103" s="4" t="str">
        <f t="shared" ca="1" si="9"/>
        <v/>
      </c>
      <c r="M103" s="4" t="str">
        <f t="shared" ca="1" si="10"/>
        <v/>
      </c>
      <c r="N103" s="4" t="str">
        <f t="shared" ca="1" si="11"/>
        <v/>
      </c>
      <c r="O103" s="4" t="str">
        <f t="shared" ca="1" si="12"/>
        <v/>
      </c>
      <c r="P103" s="4" t="str">
        <f t="shared" ca="1" si="13"/>
        <v/>
      </c>
    </row>
    <row r="104" spans="1:16" ht="14.25">
      <c r="A104" t="s">
        <v>1126</v>
      </c>
      <c r="B104" t="s">
        <v>1118</v>
      </c>
      <c r="C104" t="s">
        <v>1119</v>
      </c>
      <c r="F104" t="s">
        <v>531</v>
      </c>
      <c r="G104" t="s">
        <v>1127</v>
      </c>
      <c r="I104" s="4">
        <f t="shared" ca="1" si="14"/>
        <v>11104</v>
      </c>
      <c r="J104" s="4">
        <f t="shared" ca="1" si="15"/>
        <v>11</v>
      </c>
      <c r="K104" s="4" t="str">
        <f t="shared" ca="1" si="8"/>
        <v/>
      </c>
      <c r="L104" s="4">
        <f t="shared" ca="1" si="9"/>
        <v>26</v>
      </c>
      <c r="M104" s="4" t="str">
        <f t="shared" ca="1" si="10"/>
        <v/>
      </c>
      <c r="N104" s="4" t="str">
        <f t="shared" ca="1" si="11"/>
        <v/>
      </c>
      <c r="O104" s="4" t="str">
        <f t="shared" ca="1" si="12"/>
        <v/>
      </c>
      <c r="P104" s="4" t="str">
        <f t="shared" ca="1" si="13"/>
        <v/>
      </c>
    </row>
    <row r="105" spans="1:16" ht="14.25">
      <c r="A105" t="s">
        <v>1128</v>
      </c>
      <c r="B105" t="s">
        <v>879</v>
      </c>
      <c r="C105" t="s">
        <v>932</v>
      </c>
      <c r="G105" t="s">
        <v>1129</v>
      </c>
      <c r="I105" s="4" t="str">
        <f t="shared" ca="1" si="14"/>
        <v/>
      </c>
      <c r="J105" s="4" t="str">
        <f t="shared" ca="1" si="15"/>
        <v/>
      </c>
      <c r="K105" s="4" t="str">
        <f t="shared" ca="1" si="8"/>
        <v/>
      </c>
      <c r="L105" s="4" t="str">
        <f t="shared" ca="1" si="9"/>
        <v/>
      </c>
      <c r="M105" s="4" t="str">
        <f t="shared" ca="1" si="10"/>
        <v/>
      </c>
      <c r="N105" s="4" t="str">
        <f t="shared" ca="1" si="11"/>
        <v/>
      </c>
      <c r="O105" s="4" t="str">
        <f t="shared" ca="1" si="12"/>
        <v/>
      </c>
      <c r="P105" s="4" t="str">
        <f t="shared" ca="1" si="13"/>
        <v/>
      </c>
    </row>
    <row r="106" spans="1:16" ht="14.25">
      <c r="A106" t="s">
        <v>840</v>
      </c>
      <c r="B106" t="s">
        <v>519</v>
      </c>
      <c r="C106" t="s">
        <v>768</v>
      </c>
      <c r="E106" t="s">
        <v>1198</v>
      </c>
      <c r="F106" t="s">
        <v>527</v>
      </c>
      <c r="I106" s="4" t="str">
        <f t="shared" ca="1" si="14"/>
        <v/>
      </c>
      <c r="J106" s="4" t="str">
        <f t="shared" ca="1" si="15"/>
        <v/>
      </c>
      <c r="K106" s="4" t="str">
        <f t="shared" ca="1" si="8"/>
        <v/>
      </c>
      <c r="L106" s="4" t="str">
        <f t="shared" ca="1" si="9"/>
        <v/>
      </c>
      <c r="M106" s="4" t="str">
        <f t="shared" ca="1" si="10"/>
        <v/>
      </c>
      <c r="N106" s="4" t="str">
        <f t="shared" ca="1" si="11"/>
        <v/>
      </c>
      <c r="O106" s="4" t="str">
        <f t="shared" ca="1" si="12"/>
        <v/>
      </c>
      <c r="P106" s="4" t="str">
        <f t="shared" ca="1" si="13"/>
        <v/>
      </c>
    </row>
    <row r="107" spans="1:16" ht="14.25">
      <c r="A107" t="s">
        <v>841</v>
      </c>
      <c r="B107" t="s">
        <v>1120</v>
      </c>
      <c r="C107" t="s">
        <v>1121</v>
      </c>
      <c r="E107" t="s">
        <v>1194</v>
      </c>
      <c r="F107" t="s">
        <v>532</v>
      </c>
      <c r="G107" t="s">
        <v>1130</v>
      </c>
      <c r="I107" s="4" t="str">
        <f t="shared" ca="1" si="14"/>
        <v/>
      </c>
      <c r="J107" s="4" t="str">
        <f t="shared" ca="1" si="15"/>
        <v/>
      </c>
      <c r="K107" s="4" t="str">
        <f t="shared" ca="1" si="8"/>
        <v/>
      </c>
      <c r="L107" s="4" t="str">
        <f t="shared" ca="1" si="9"/>
        <v/>
      </c>
      <c r="M107" s="4" t="str">
        <f t="shared" ca="1" si="10"/>
        <v/>
      </c>
      <c r="N107" s="4" t="str">
        <f t="shared" ca="1" si="11"/>
        <v/>
      </c>
      <c r="O107" s="4" t="str">
        <f t="shared" ca="1" si="12"/>
        <v/>
      </c>
      <c r="P107" s="4" t="str">
        <f t="shared" ca="1" si="13"/>
        <v/>
      </c>
    </row>
    <row r="108" spans="1:16" ht="14.25">
      <c r="A108" t="s">
        <v>842</v>
      </c>
      <c r="B108" t="s">
        <v>880</v>
      </c>
      <c r="C108" t="s">
        <v>933</v>
      </c>
      <c r="E108" t="s">
        <v>1194</v>
      </c>
      <c r="F108" t="s">
        <v>532</v>
      </c>
      <c r="G108" t="s">
        <v>1130</v>
      </c>
      <c r="I108" s="4" t="str">
        <f t="shared" ca="1" si="14"/>
        <v/>
      </c>
      <c r="J108" s="4" t="str">
        <f t="shared" ca="1" si="15"/>
        <v/>
      </c>
      <c r="K108" s="4" t="str">
        <f t="shared" ca="1" si="8"/>
        <v/>
      </c>
      <c r="L108" s="4" t="str">
        <f t="shared" ca="1" si="9"/>
        <v/>
      </c>
      <c r="M108" s="4" t="str">
        <f t="shared" ca="1" si="10"/>
        <v/>
      </c>
      <c r="N108" s="4" t="str">
        <f t="shared" ca="1" si="11"/>
        <v/>
      </c>
      <c r="O108" s="4" t="str">
        <f t="shared" ca="1" si="12"/>
        <v/>
      </c>
      <c r="P108" s="4" t="str">
        <f t="shared" ca="1" si="13"/>
        <v/>
      </c>
    </row>
    <row r="109" spans="1:16" ht="14.25">
      <c r="A109" t="s">
        <v>843</v>
      </c>
      <c r="B109" t="s">
        <v>881</v>
      </c>
      <c r="C109" t="s">
        <v>934</v>
      </c>
      <c r="G109" t="s">
        <v>1131</v>
      </c>
      <c r="I109" s="4" t="str">
        <f t="shared" ca="1" si="14"/>
        <v/>
      </c>
      <c r="J109" s="4" t="str">
        <f t="shared" ca="1" si="15"/>
        <v/>
      </c>
      <c r="K109" s="4" t="str">
        <f t="shared" ca="1" si="8"/>
        <v/>
      </c>
      <c r="L109" s="4" t="str">
        <f t="shared" ca="1" si="9"/>
        <v/>
      </c>
      <c r="M109" s="4" t="str">
        <f t="shared" ca="1" si="10"/>
        <v/>
      </c>
      <c r="N109" s="4" t="str">
        <f t="shared" ca="1" si="11"/>
        <v/>
      </c>
      <c r="O109" s="4" t="str">
        <f t="shared" ca="1" si="12"/>
        <v/>
      </c>
      <c r="P109" s="4" t="str">
        <f t="shared" ca="1" si="13"/>
        <v/>
      </c>
    </row>
    <row r="110" spans="1:16" ht="14.25">
      <c r="A110" t="s">
        <v>844</v>
      </c>
      <c r="B110" t="s">
        <v>882</v>
      </c>
      <c r="C110" t="s">
        <v>935</v>
      </c>
      <c r="E110" t="s">
        <v>1196</v>
      </c>
      <c r="F110" t="s">
        <v>1195</v>
      </c>
      <c r="G110" t="s">
        <v>1132</v>
      </c>
      <c r="I110" s="4" t="str">
        <f t="shared" ca="1" si="14"/>
        <v/>
      </c>
      <c r="J110" s="4" t="str">
        <f t="shared" ca="1" si="15"/>
        <v/>
      </c>
      <c r="K110" s="4" t="str">
        <f t="shared" ca="1" si="8"/>
        <v/>
      </c>
      <c r="L110" s="4" t="str">
        <f t="shared" ca="1" si="9"/>
        <v/>
      </c>
      <c r="M110" s="4" t="str">
        <f t="shared" ca="1" si="10"/>
        <v/>
      </c>
      <c r="N110" s="4" t="str">
        <f t="shared" ca="1" si="11"/>
        <v/>
      </c>
      <c r="O110" s="4" t="str">
        <f t="shared" ca="1" si="12"/>
        <v/>
      </c>
      <c r="P110" s="4" t="str">
        <f t="shared" ca="1" si="13"/>
        <v/>
      </c>
    </row>
    <row r="111" spans="1:16" ht="14.25">
      <c r="A111" t="s">
        <v>845</v>
      </c>
      <c r="B111" t="s">
        <v>883</v>
      </c>
      <c r="C111" t="s">
        <v>936</v>
      </c>
      <c r="E111" t="s">
        <v>1196</v>
      </c>
      <c r="F111" t="s">
        <v>1195</v>
      </c>
      <c r="G111" t="s">
        <v>1132</v>
      </c>
      <c r="I111" s="4" t="str">
        <f t="shared" ca="1" si="14"/>
        <v/>
      </c>
      <c r="J111" s="4" t="str">
        <f t="shared" ca="1" si="15"/>
        <v/>
      </c>
      <c r="K111" s="4" t="str">
        <f t="shared" ca="1" si="8"/>
        <v/>
      </c>
      <c r="L111" s="4" t="str">
        <f t="shared" ca="1" si="9"/>
        <v/>
      </c>
      <c r="M111" s="4" t="str">
        <f t="shared" ca="1" si="10"/>
        <v/>
      </c>
      <c r="N111" s="4" t="str">
        <f t="shared" ca="1" si="11"/>
        <v/>
      </c>
      <c r="O111" s="4" t="str">
        <f t="shared" ca="1" si="12"/>
        <v/>
      </c>
      <c r="P111" s="4" t="str">
        <f t="shared" ca="1" si="13"/>
        <v/>
      </c>
    </row>
    <row r="112" spans="1:16" ht="14.25">
      <c r="A112" t="s">
        <v>846</v>
      </c>
      <c r="B112" t="s">
        <v>1122</v>
      </c>
      <c r="C112" t="s">
        <v>1123</v>
      </c>
      <c r="F112" t="s">
        <v>533</v>
      </c>
      <c r="G112" t="s">
        <v>1133</v>
      </c>
      <c r="I112" s="4" t="str">
        <f t="shared" ca="1" si="14"/>
        <v/>
      </c>
      <c r="J112" s="4" t="str">
        <f t="shared" ca="1" si="15"/>
        <v/>
      </c>
      <c r="K112" s="4" t="str">
        <f t="shared" ca="1" si="8"/>
        <v/>
      </c>
      <c r="L112" s="4" t="str">
        <f t="shared" ca="1" si="9"/>
        <v/>
      </c>
      <c r="M112" s="4" t="str">
        <f t="shared" ca="1" si="10"/>
        <v/>
      </c>
      <c r="N112" s="4" t="str">
        <f t="shared" ca="1" si="11"/>
        <v/>
      </c>
      <c r="O112" s="4" t="str">
        <f t="shared" ca="1" si="12"/>
        <v/>
      </c>
      <c r="P112" s="4" t="str">
        <f t="shared" ca="1" si="13"/>
        <v/>
      </c>
    </row>
    <row r="113" spans="1:16" ht="14.25">
      <c r="I113" s="4" t="str">
        <f t="shared" ca="1" si="14"/>
        <v/>
      </c>
      <c r="J113" s="4" t="str">
        <f t="shared" ca="1" si="15"/>
        <v/>
      </c>
      <c r="K113" s="4" t="str">
        <f t="shared" ca="1" si="8"/>
        <v/>
      </c>
      <c r="L113" s="4" t="str">
        <f t="shared" ca="1" si="9"/>
        <v/>
      </c>
      <c r="M113" s="4" t="str">
        <f t="shared" ca="1" si="10"/>
        <v/>
      </c>
      <c r="N113" s="4" t="str">
        <f t="shared" ca="1" si="11"/>
        <v/>
      </c>
      <c r="O113" s="4" t="str">
        <f t="shared" ca="1" si="12"/>
        <v/>
      </c>
      <c r="P113" s="4" t="str">
        <f t="shared" ca="1" si="13"/>
        <v/>
      </c>
    </row>
    <row r="114" spans="1:16" ht="14.25">
      <c r="A114" t="s">
        <v>229</v>
      </c>
      <c r="B114" t="s">
        <v>470</v>
      </c>
      <c r="C114" t="s">
        <v>718</v>
      </c>
      <c r="I114" s="4" t="str">
        <f t="shared" ca="1" si="14"/>
        <v/>
      </c>
      <c r="J114" s="4" t="str">
        <f t="shared" ca="1" si="15"/>
        <v/>
      </c>
      <c r="K114" s="4" t="str">
        <f t="shared" ca="1" si="8"/>
        <v/>
      </c>
      <c r="L114" s="4" t="str">
        <f t="shared" ca="1" si="9"/>
        <v/>
      </c>
      <c r="M114" s="4" t="str">
        <f t="shared" ca="1" si="10"/>
        <v/>
      </c>
      <c r="N114" s="4" t="str">
        <f t="shared" ca="1" si="11"/>
        <v/>
      </c>
      <c r="O114" s="4" t="str">
        <f t="shared" ca="1" si="12"/>
        <v/>
      </c>
      <c r="P114" s="4" t="str">
        <f t="shared" ca="1" si="13"/>
        <v/>
      </c>
    </row>
    <row r="115" spans="1:16" ht="14.25">
      <c r="A115" t="s">
        <v>231</v>
      </c>
      <c r="B115" t="s">
        <v>471</v>
      </c>
      <c r="C115" t="s">
        <v>719</v>
      </c>
      <c r="I115" s="4" t="str">
        <f t="shared" ca="1" si="14"/>
        <v/>
      </c>
      <c r="J115" s="4" t="str">
        <f t="shared" ca="1" si="15"/>
        <v/>
      </c>
      <c r="K115" s="4" t="str">
        <f t="shared" ca="1" si="8"/>
        <v/>
      </c>
      <c r="L115" s="4" t="str">
        <f t="shared" ca="1" si="9"/>
        <v/>
      </c>
      <c r="M115" s="4" t="str">
        <f t="shared" ca="1" si="10"/>
        <v/>
      </c>
      <c r="N115" s="4" t="str">
        <f t="shared" ca="1" si="11"/>
        <v/>
      </c>
      <c r="O115" s="4" t="str">
        <f t="shared" ca="1" si="12"/>
        <v/>
      </c>
      <c r="P115" s="4" t="str">
        <f t="shared" ca="1" si="13"/>
        <v/>
      </c>
    </row>
    <row r="116" spans="1:16" ht="14.25">
      <c r="A116" t="s">
        <v>233</v>
      </c>
      <c r="B116" t="s">
        <v>472</v>
      </c>
      <c r="C116" t="s">
        <v>720</v>
      </c>
      <c r="I116" s="4" t="str">
        <f t="shared" ca="1" si="14"/>
        <v/>
      </c>
      <c r="J116" s="4" t="str">
        <f t="shared" ca="1" si="15"/>
        <v/>
      </c>
      <c r="K116" s="4" t="str">
        <f t="shared" ca="1" si="8"/>
        <v/>
      </c>
      <c r="L116" s="4" t="str">
        <f t="shared" ca="1" si="9"/>
        <v/>
      </c>
      <c r="M116" s="4" t="str">
        <f t="shared" ca="1" si="10"/>
        <v/>
      </c>
      <c r="N116" s="4" t="str">
        <f t="shared" ca="1" si="11"/>
        <v/>
      </c>
      <c r="O116" s="4" t="str">
        <f t="shared" ca="1" si="12"/>
        <v/>
      </c>
      <c r="P116" s="4" t="str">
        <f t="shared" ca="1" si="13"/>
        <v/>
      </c>
    </row>
    <row r="117" spans="1:16" ht="14.25">
      <c r="A117" t="s">
        <v>236</v>
      </c>
      <c r="B117" t="s">
        <v>473</v>
      </c>
      <c r="C117" t="s">
        <v>721</v>
      </c>
      <c r="I117" s="4" t="str">
        <f t="shared" ca="1" si="14"/>
        <v/>
      </c>
      <c r="J117" s="4" t="str">
        <f t="shared" ca="1" si="15"/>
        <v/>
      </c>
      <c r="K117" s="4" t="str">
        <f t="shared" ca="1" si="8"/>
        <v/>
      </c>
      <c r="L117" s="4" t="str">
        <f t="shared" ca="1" si="9"/>
        <v/>
      </c>
      <c r="M117" s="4" t="str">
        <f t="shared" ca="1" si="10"/>
        <v/>
      </c>
      <c r="N117" s="4" t="str">
        <f t="shared" ca="1" si="11"/>
        <v/>
      </c>
      <c r="O117" s="4" t="str">
        <f t="shared" ca="1" si="12"/>
        <v/>
      </c>
      <c r="P117" s="4" t="str">
        <f t="shared" ca="1" si="13"/>
        <v/>
      </c>
    </row>
    <row r="118" spans="1:16" ht="14.25">
      <c r="A118" t="s">
        <v>238</v>
      </c>
      <c r="B118" t="s">
        <v>474</v>
      </c>
      <c r="C118" t="s">
        <v>722</v>
      </c>
      <c r="I118" s="4" t="str">
        <f t="shared" ca="1" si="14"/>
        <v/>
      </c>
      <c r="J118" s="4" t="str">
        <f t="shared" ca="1" si="15"/>
        <v/>
      </c>
      <c r="K118" s="4" t="str">
        <f t="shared" ca="1" si="8"/>
        <v/>
      </c>
      <c r="L118" s="4" t="str">
        <f t="shared" ca="1" si="9"/>
        <v/>
      </c>
      <c r="M118" s="4" t="str">
        <f t="shared" ca="1" si="10"/>
        <v/>
      </c>
      <c r="N118" s="4" t="str">
        <f t="shared" ca="1" si="11"/>
        <v/>
      </c>
      <c r="O118" s="4" t="str">
        <f t="shared" ca="1" si="12"/>
        <v/>
      </c>
      <c r="P118" s="4" t="str">
        <f t="shared" ca="1" si="13"/>
        <v/>
      </c>
    </row>
    <row r="119" spans="1:16" ht="14.25">
      <c r="A119" t="s">
        <v>241</v>
      </c>
      <c r="B119" t="s">
        <v>475</v>
      </c>
      <c r="C119" t="s">
        <v>723</v>
      </c>
      <c r="I119" s="4" t="str">
        <f t="shared" ca="1" si="14"/>
        <v/>
      </c>
      <c r="J119" s="4" t="str">
        <f t="shared" ca="1" si="15"/>
        <v/>
      </c>
      <c r="K119" s="4" t="str">
        <f t="shared" ca="1" si="8"/>
        <v/>
      </c>
      <c r="L119" s="4" t="str">
        <f t="shared" ca="1" si="9"/>
        <v/>
      </c>
      <c r="M119" s="4" t="str">
        <f t="shared" ca="1" si="10"/>
        <v/>
      </c>
      <c r="N119" s="4" t="str">
        <f t="shared" ca="1" si="11"/>
        <v/>
      </c>
      <c r="O119" s="4" t="str">
        <f t="shared" ca="1" si="12"/>
        <v/>
      </c>
      <c r="P119" s="4" t="str">
        <f t="shared" ca="1" si="13"/>
        <v/>
      </c>
    </row>
    <row r="120" spans="1:16" ht="14.25">
      <c r="A120" t="s">
        <v>245</v>
      </c>
      <c r="B120" t="s">
        <v>476</v>
      </c>
      <c r="C120" t="s">
        <v>724</v>
      </c>
      <c r="I120" s="4" t="str">
        <f t="shared" ca="1" si="14"/>
        <v/>
      </c>
      <c r="J120" s="4" t="str">
        <f t="shared" ca="1" si="15"/>
        <v/>
      </c>
      <c r="K120" s="4" t="str">
        <f t="shared" ca="1" si="8"/>
        <v/>
      </c>
      <c r="L120" s="4" t="str">
        <f t="shared" ca="1" si="9"/>
        <v/>
      </c>
      <c r="M120" s="4" t="str">
        <f t="shared" ca="1" si="10"/>
        <v/>
      </c>
      <c r="N120" s="4" t="str">
        <f t="shared" ca="1" si="11"/>
        <v/>
      </c>
      <c r="O120" s="4" t="str">
        <f t="shared" ca="1" si="12"/>
        <v/>
      </c>
      <c r="P120" s="4" t="str">
        <f t="shared" ca="1" si="13"/>
        <v/>
      </c>
    </row>
    <row r="121" spans="1:16" ht="14.25">
      <c r="A121" t="s">
        <v>249</v>
      </c>
      <c r="B121" t="s">
        <v>477</v>
      </c>
      <c r="C121" t="s">
        <v>725</v>
      </c>
      <c r="I121" s="4" t="str">
        <f t="shared" ca="1" si="14"/>
        <v/>
      </c>
      <c r="J121" s="4" t="str">
        <f t="shared" ca="1" si="15"/>
        <v/>
      </c>
      <c r="K121" s="4" t="str">
        <f t="shared" ca="1" si="8"/>
        <v/>
      </c>
      <c r="L121" s="4" t="str">
        <f t="shared" ca="1" si="9"/>
        <v/>
      </c>
      <c r="M121" s="4" t="str">
        <f t="shared" ca="1" si="10"/>
        <v/>
      </c>
      <c r="N121" s="4" t="str">
        <f t="shared" ca="1" si="11"/>
        <v/>
      </c>
      <c r="O121" s="4" t="str">
        <f t="shared" ca="1" si="12"/>
        <v/>
      </c>
      <c r="P121" s="4" t="str">
        <f t="shared" ca="1" si="13"/>
        <v/>
      </c>
    </row>
    <row r="122" spans="1:16" ht="14.25">
      <c r="A122" t="s">
        <v>251</v>
      </c>
      <c r="B122" t="s">
        <v>884</v>
      </c>
      <c r="C122" t="s">
        <v>937</v>
      </c>
      <c r="I122" s="4" t="str">
        <f t="shared" ca="1" si="14"/>
        <v/>
      </c>
      <c r="J122" s="4" t="str">
        <f t="shared" ca="1" si="15"/>
        <v/>
      </c>
      <c r="K122" s="4" t="str">
        <f t="shared" ca="1" si="8"/>
        <v/>
      </c>
      <c r="L122" s="4" t="str">
        <f t="shared" ca="1" si="9"/>
        <v/>
      </c>
      <c r="M122" s="4" t="str">
        <f t="shared" ca="1" si="10"/>
        <v/>
      </c>
      <c r="N122" s="4" t="str">
        <f t="shared" ca="1" si="11"/>
        <v/>
      </c>
      <c r="O122" s="4" t="str">
        <f t="shared" ca="1" si="12"/>
        <v/>
      </c>
      <c r="P122" s="4" t="str">
        <f t="shared" ca="1" si="13"/>
        <v/>
      </c>
    </row>
    <row r="123" spans="1:16" ht="14.25">
      <c r="A123" t="s">
        <v>254</v>
      </c>
      <c r="B123" t="s">
        <v>885</v>
      </c>
      <c r="C123" t="s">
        <v>938</v>
      </c>
      <c r="I123" s="4" t="str">
        <f t="shared" ca="1" si="14"/>
        <v/>
      </c>
      <c r="J123" s="4" t="str">
        <f t="shared" ca="1" si="15"/>
        <v/>
      </c>
      <c r="K123" s="4" t="str">
        <f t="shared" ca="1" si="8"/>
        <v/>
      </c>
      <c r="L123" s="4" t="str">
        <f t="shared" ca="1" si="9"/>
        <v/>
      </c>
      <c r="M123" s="4" t="str">
        <f t="shared" ca="1" si="10"/>
        <v/>
      </c>
      <c r="N123" s="4" t="str">
        <f t="shared" ca="1" si="11"/>
        <v/>
      </c>
      <c r="O123" s="4" t="str">
        <f t="shared" ca="1" si="12"/>
        <v/>
      </c>
      <c r="P123" s="4" t="str">
        <f t="shared" ca="1" si="13"/>
        <v/>
      </c>
    </row>
    <row r="124" spans="1:16" ht="14.25">
      <c r="A124" t="s">
        <v>256</v>
      </c>
      <c r="B124" t="s">
        <v>886</v>
      </c>
      <c r="C124" t="s">
        <v>939</v>
      </c>
      <c r="I124" s="4" t="str">
        <f t="shared" ca="1" si="14"/>
        <v/>
      </c>
      <c r="J124" s="4" t="str">
        <f t="shared" ca="1" si="15"/>
        <v/>
      </c>
      <c r="K124" s="4" t="str">
        <f t="shared" ca="1" si="8"/>
        <v/>
      </c>
      <c r="L124" s="4" t="str">
        <f t="shared" ca="1" si="9"/>
        <v/>
      </c>
      <c r="M124" s="4" t="str">
        <f t="shared" ca="1" si="10"/>
        <v/>
      </c>
      <c r="N124" s="4" t="str">
        <f t="shared" ca="1" si="11"/>
        <v/>
      </c>
      <c r="O124" s="4" t="str">
        <f t="shared" ca="1" si="12"/>
        <v/>
      </c>
      <c r="P124" s="4" t="str">
        <f t="shared" ca="1" si="13"/>
        <v/>
      </c>
    </row>
    <row r="125" spans="1:16" ht="14.25">
      <c r="A125" t="s">
        <v>259</v>
      </c>
      <c r="B125" t="s">
        <v>478</v>
      </c>
      <c r="C125" t="s">
        <v>726</v>
      </c>
      <c r="I125" s="4" t="str">
        <f t="shared" ca="1" si="14"/>
        <v/>
      </c>
      <c r="J125" s="4" t="str">
        <f t="shared" ca="1" si="15"/>
        <v/>
      </c>
      <c r="K125" s="4" t="str">
        <f t="shared" ca="1" si="8"/>
        <v/>
      </c>
      <c r="L125" s="4" t="str">
        <f t="shared" ca="1" si="9"/>
        <v/>
      </c>
      <c r="M125" s="4" t="str">
        <f t="shared" ca="1" si="10"/>
        <v/>
      </c>
      <c r="N125" s="4" t="str">
        <f t="shared" ca="1" si="11"/>
        <v/>
      </c>
      <c r="O125" s="4" t="str">
        <f t="shared" ca="1" si="12"/>
        <v/>
      </c>
      <c r="P125" s="4" t="str">
        <f t="shared" ca="1" si="13"/>
        <v/>
      </c>
    </row>
    <row r="126" spans="1:16" ht="14.25">
      <c r="A126" t="s">
        <v>261</v>
      </c>
      <c r="B126" t="s">
        <v>479</v>
      </c>
      <c r="C126" t="s">
        <v>727</v>
      </c>
      <c r="I126" s="4" t="str">
        <f t="shared" ca="1" si="14"/>
        <v/>
      </c>
      <c r="J126" s="4" t="str">
        <f t="shared" ca="1" si="15"/>
        <v/>
      </c>
      <c r="K126" s="4" t="str">
        <f t="shared" ca="1" si="8"/>
        <v/>
      </c>
      <c r="L126" s="4" t="str">
        <f t="shared" ca="1" si="9"/>
        <v/>
      </c>
      <c r="M126" s="4" t="str">
        <f t="shared" ca="1" si="10"/>
        <v/>
      </c>
      <c r="N126" s="4" t="str">
        <f t="shared" ca="1" si="11"/>
        <v/>
      </c>
      <c r="O126" s="4" t="str">
        <f t="shared" ca="1" si="12"/>
        <v/>
      </c>
      <c r="P126" s="4" t="str">
        <f t="shared" ca="1" si="13"/>
        <v/>
      </c>
    </row>
    <row r="127" spans="1:16" ht="14.25">
      <c r="I127" s="4" t="str">
        <f t="shared" ca="1" si="14"/>
        <v/>
      </c>
      <c r="J127" s="4" t="str">
        <f t="shared" ca="1" si="15"/>
        <v/>
      </c>
      <c r="K127" s="4" t="str">
        <f t="shared" ca="1" si="8"/>
        <v/>
      </c>
      <c r="L127" s="4" t="str">
        <f t="shared" ca="1" si="9"/>
        <v/>
      </c>
      <c r="M127" s="4" t="str">
        <f t="shared" ca="1" si="10"/>
        <v/>
      </c>
      <c r="N127" s="4" t="str">
        <f t="shared" ca="1" si="11"/>
        <v/>
      </c>
      <c r="O127" s="4" t="str">
        <f t="shared" ca="1" si="12"/>
        <v/>
      </c>
      <c r="P127" s="4" t="str">
        <f t="shared" ca="1" si="13"/>
        <v/>
      </c>
    </row>
    <row r="128" spans="1:16" ht="14.25">
      <c r="A128" t="s">
        <v>264</v>
      </c>
      <c r="B128" t="s">
        <v>480</v>
      </c>
      <c r="C128" t="s">
        <v>728</v>
      </c>
      <c r="I128" s="4" t="str">
        <f t="shared" ca="1" si="14"/>
        <v/>
      </c>
      <c r="J128" s="4" t="str">
        <f t="shared" ca="1" si="15"/>
        <v/>
      </c>
      <c r="K128" s="4" t="str">
        <f t="shared" ca="1" si="8"/>
        <v/>
      </c>
      <c r="L128" s="4" t="str">
        <f t="shared" ca="1" si="9"/>
        <v/>
      </c>
      <c r="M128" s="4" t="str">
        <f t="shared" ca="1" si="10"/>
        <v/>
      </c>
      <c r="N128" s="4" t="str">
        <f t="shared" ca="1" si="11"/>
        <v/>
      </c>
      <c r="O128" s="4" t="str">
        <f t="shared" ca="1" si="12"/>
        <v/>
      </c>
      <c r="P128" s="4" t="str">
        <f t="shared" ca="1" si="13"/>
        <v/>
      </c>
    </row>
    <row r="129" spans="1:16" ht="14.25">
      <c r="A129" t="s">
        <v>267</v>
      </c>
      <c r="B129" t="s">
        <v>481</v>
      </c>
      <c r="C129" t="s">
        <v>729</v>
      </c>
      <c r="I129" s="4" t="str">
        <f t="shared" ca="1" si="14"/>
        <v/>
      </c>
      <c r="J129" s="4" t="str">
        <f t="shared" ca="1" si="15"/>
        <v/>
      </c>
      <c r="K129" s="4" t="str">
        <f t="shared" ca="1" si="8"/>
        <v/>
      </c>
      <c r="L129" s="4" t="str">
        <f t="shared" ca="1" si="9"/>
        <v/>
      </c>
      <c r="M129" s="4" t="str">
        <f t="shared" ca="1" si="10"/>
        <v/>
      </c>
      <c r="N129" s="4" t="str">
        <f t="shared" ca="1" si="11"/>
        <v/>
      </c>
      <c r="O129" s="4" t="str">
        <f t="shared" ca="1" si="12"/>
        <v/>
      </c>
      <c r="P129" s="4" t="str">
        <f t="shared" ca="1" si="13"/>
        <v/>
      </c>
    </row>
    <row r="130" spans="1:16" ht="14.25">
      <c r="A130" t="s">
        <v>270</v>
      </c>
      <c r="B130" t="s">
        <v>482</v>
      </c>
      <c r="C130" t="s">
        <v>730</v>
      </c>
      <c r="I130" s="4" t="str">
        <f t="shared" ca="1" si="14"/>
        <v/>
      </c>
      <c r="J130" s="4" t="str">
        <f t="shared" ca="1" si="15"/>
        <v/>
      </c>
      <c r="K130" s="4" t="str">
        <f t="shared" ca="1" si="8"/>
        <v/>
      </c>
      <c r="L130" s="4" t="str">
        <f t="shared" ca="1" si="9"/>
        <v/>
      </c>
      <c r="M130" s="4" t="str">
        <f t="shared" ca="1" si="10"/>
        <v/>
      </c>
      <c r="N130" s="4" t="str">
        <f t="shared" ca="1" si="11"/>
        <v/>
      </c>
      <c r="O130" s="4" t="str">
        <f t="shared" ca="1" si="12"/>
        <v/>
      </c>
      <c r="P130" s="4" t="str">
        <f t="shared" ca="1" si="13"/>
        <v/>
      </c>
    </row>
    <row r="131" spans="1:16" ht="14.25">
      <c r="A131" t="s">
        <v>272</v>
      </c>
      <c r="B131" t="s">
        <v>483</v>
      </c>
      <c r="C131" t="s">
        <v>731</v>
      </c>
      <c r="I131" s="4" t="str">
        <f t="shared" ca="1" si="14"/>
        <v/>
      </c>
      <c r="J131" s="4" t="str">
        <f t="shared" ca="1" si="15"/>
        <v/>
      </c>
      <c r="K131" s="4" t="str">
        <f t="shared" ref="K131:K165" ca="1" si="16">IF(ISERROR(SEARCH($B$1,B131)),"",SEARCH($B$1,B131))</f>
        <v/>
      </c>
      <c r="L131" s="4" t="str">
        <f t="shared" ref="L131:L165" ca="1" si="17">IF(ISERROR(SEARCH($B$1,C131)),"",SEARCH($B$1,C131))</f>
        <v/>
      </c>
      <c r="M131" s="4" t="str">
        <f t="shared" ref="M131:M165" ca="1" si="18">IF(ISERROR(SEARCH($B$1,D131)),"",SEARCH($B$1,D131))</f>
        <v/>
      </c>
      <c r="N131" s="4" t="str">
        <f t="shared" ref="N131:N165" ca="1" si="19">IF(ISERROR(SEARCH($B$1,E131)),"",SEARCH($B$1,E131))</f>
        <v/>
      </c>
      <c r="O131" s="4" t="str">
        <f t="shared" ref="O131:O165" ca="1" si="20">IF(ISERROR(SEARCH($B$1,F131)),"",SEARCH($B$1,F131))</f>
        <v/>
      </c>
      <c r="P131" s="4" t="str">
        <f t="shared" ref="P131:P175" ca="1" si="21">IF(ISERROR(SEARCH($B$1,G131)),"",SEARCH($B$1,G131))</f>
        <v/>
      </c>
    </row>
    <row r="132" spans="1:16" ht="14.25">
      <c r="A132" t="s">
        <v>273</v>
      </c>
      <c r="B132" t="s">
        <v>484</v>
      </c>
      <c r="C132" t="s">
        <v>732</v>
      </c>
      <c r="I132" s="4" t="str">
        <f t="shared" ref="I132:I198" ca="1" si="22">IF(MAX(J132:P132)=0,"",MIN(J132:P132)*1000+ROW())</f>
        <v/>
      </c>
      <c r="J132" s="4" t="str">
        <f t="shared" ref="J132:J165" ca="1" si="23">IF(ISERROR(SEARCH($B$1,A132)),"",SEARCH($B$1,A132))</f>
        <v/>
      </c>
      <c r="K132" s="4" t="str">
        <f t="shared" ca="1" si="16"/>
        <v/>
      </c>
      <c r="L132" s="4" t="str">
        <f t="shared" ca="1" si="17"/>
        <v/>
      </c>
      <c r="M132" s="4" t="str">
        <f t="shared" ca="1" si="18"/>
        <v/>
      </c>
      <c r="N132" s="4" t="str">
        <f t="shared" ca="1" si="19"/>
        <v/>
      </c>
      <c r="O132" s="4" t="str">
        <f t="shared" ca="1" si="20"/>
        <v/>
      </c>
      <c r="P132" s="4" t="str">
        <f t="shared" ca="1" si="21"/>
        <v/>
      </c>
    </row>
    <row r="133" spans="1:16" ht="14.25">
      <c r="A133" t="s">
        <v>275</v>
      </c>
      <c r="B133" t="s">
        <v>485</v>
      </c>
      <c r="C133" t="s">
        <v>733</v>
      </c>
      <c r="I133" s="4" t="str">
        <f t="shared" ca="1" si="22"/>
        <v/>
      </c>
      <c r="J133" s="4" t="str">
        <f t="shared" ca="1" si="23"/>
        <v/>
      </c>
      <c r="K133" s="4" t="str">
        <f t="shared" ca="1" si="16"/>
        <v/>
      </c>
      <c r="L133" s="4" t="str">
        <f t="shared" ca="1" si="17"/>
        <v/>
      </c>
      <c r="M133" s="4" t="str">
        <f t="shared" ca="1" si="18"/>
        <v/>
      </c>
      <c r="N133" s="4" t="str">
        <f t="shared" ca="1" si="19"/>
        <v/>
      </c>
      <c r="O133" s="4" t="str">
        <f t="shared" ca="1" si="20"/>
        <v/>
      </c>
      <c r="P133" s="4" t="str">
        <f t="shared" ca="1" si="21"/>
        <v/>
      </c>
    </row>
    <row r="134" spans="1:16" ht="14.25">
      <c r="A134" t="s">
        <v>279</v>
      </c>
      <c r="B134" t="s">
        <v>486</v>
      </c>
      <c r="C134" t="s">
        <v>734</v>
      </c>
      <c r="I134" s="4" t="str">
        <f t="shared" ca="1" si="22"/>
        <v/>
      </c>
      <c r="J134" s="4" t="str">
        <f t="shared" ca="1" si="23"/>
        <v/>
      </c>
      <c r="K134" s="4" t="str">
        <f t="shared" ca="1" si="16"/>
        <v/>
      </c>
      <c r="L134" s="4" t="str">
        <f t="shared" ca="1" si="17"/>
        <v/>
      </c>
      <c r="M134" s="4" t="str">
        <f t="shared" ca="1" si="18"/>
        <v/>
      </c>
      <c r="N134" s="4" t="str">
        <f t="shared" ca="1" si="19"/>
        <v/>
      </c>
      <c r="O134" s="4" t="str">
        <f t="shared" ca="1" si="20"/>
        <v/>
      </c>
      <c r="P134" s="4" t="str">
        <f t="shared" ca="1" si="21"/>
        <v/>
      </c>
    </row>
    <row r="135" spans="1:16" ht="14.25">
      <c r="A135" t="s">
        <v>282</v>
      </c>
      <c r="B135" t="s">
        <v>487</v>
      </c>
      <c r="C135" t="s">
        <v>735</v>
      </c>
      <c r="I135" s="4" t="str">
        <f t="shared" ca="1" si="22"/>
        <v/>
      </c>
      <c r="J135" s="4" t="str">
        <f t="shared" ca="1" si="23"/>
        <v/>
      </c>
      <c r="K135" s="4" t="str">
        <f t="shared" ca="1" si="16"/>
        <v/>
      </c>
      <c r="L135" s="4" t="str">
        <f t="shared" ca="1" si="17"/>
        <v/>
      </c>
      <c r="M135" s="4" t="str">
        <f t="shared" ca="1" si="18"/>
        <v/>
      </c>
      <c r="N135" s="4" t="str">
        <f t="shared" ca="1" si="19"/>
        <v/>
      </c>
      <c r="O135" s="4" t="str">
        <f t="shared" ca="1" si="20"/>
        <v/>
      </c>
      <c r="P135" s="4" t="str">
        <f t="shared" ca="1" si="21"/>
        <v/>
      </c>
    </row>
    <row r="136" spans="1:16" ht="14.25">
      <c r="I136" s="4" t="str">
        <f t="shared" ca="1" si="22"/>
        <v/>
      </c>
      <c r="J136" s="4" t="str">
        <f t="shared" ca="1" si="23"/>
        <v/>
      </c>
      <c r="K136" s="4" t="str">
        <f t="shared" ca="1" si="16"/>
        <v/>
      </c>
      <c r="L136" s="4" t="str">
        <f t="shared" ca="1" si="17"/>
        <v/>
      </c>
      <c r="M136" s="4" t="str">
        <f t="shared" ca="1" si="18"/>
        <v/>
      </c>
      <c r="N136" s="4" t="str">
        <f t="shared" ca="1" si="19"/>
        <v/>
      </c>
      <c r="O136" s="4" t="str">
        <f t="shared" ca="1" si="20"/>
        <v/>
      </c>
      <c r="P136" s="4" t="str">
        <f t="shared" ca="1" si="21"/>
        <v/>
      </c>
    </row>
    <row r="137" spans="1:16" ht="14.25">
      <c r="A137" t="s">
        <v>283</v>
      </c>
      <c r="B137" t="s">
        <v>488</v>
      </c>
      <c r="C137" t="s">
        <v>736</v>
      </c>
      <c r="I137" s="4" t="str">
        <f t="shared" ca="1" si="22"/>
        <v/>
      </c>
      <c r="J137" s="4" t="str">
        <f t="shared" ca="1" si="23"/>
        <v/>
      </c>
      <c r="K137" s="4" t="str">
        <f t="shared" ca="1" si="16"/>
        <v/>
      </c>
      <c r="L137" s="4" t="str">
        <f t="shared" ca="1" si="17"/>
        <v/>
      </c>
      <c r="M137" s="4" t="str">
        <f t="shared" ca="1" si="18"/>
        <v/>
      </c>
      <c r="N137" s="4" t="str">
        <f t="shared" ca="1" si="19"/>
        <v/>
      </c>
      <c r="O137" s="4" t="str">
        <f t="shared" ca="1" si="20"/>
        <v/>
      </c>
      <c r="P137" s="4" t="str">
        <f t="shared" ca="1" si="21"/>
        <v/>
      </c>
    </row>
    <row r="138" spans="1:16" ht="14.25">
      <c r="A138" t="s">
        <v>285</v>
      </c>
      <c r="B138" t="s">
        <v>489</v>
      </c>
      <c r="C138" t="s">
        <v>737</v>
      </c>
      <c r="I138" s="4" t="str">
        <f t="shared" ca="1" si="22"/>
        <v/>
      </c>
      <c r="J138" s="4" t="str">
        <f t="shared" ca="1" si="23"/>
        <v/>
      </c>
      <c r="K138" s="4" t="str">
        <f t="shared" ca="1" si="16"/>
        <v/>
      </c>
      <c r="L138" s="4" t="str">
        <f t="shared" ca="1" si="17"/>
        <v/>
      </c>
      <c r="M138" s="4" t="str">
        <f t="shared" ca="1" si="18"/>
        <v/>
      </c>
      <c r="N138" s="4" t="str">
        <f t="shared" ca="1" si="19"/>
        <v/>
      </c>
      <c r="O138" s="4" t="str">
        <f t="shared" ca="1" si="20"/>
        <v/>
      </c>
      <c r="P138" s="4" t="str">
        <f t="shared" ca="1" si="21"/>
        <v/>
      </c>
    </row>
    <row r="139" spans="1:16" ht="14.25">
      <c r="A139" t="s">
        <v>286</v>
      </c>
      <c r="B139" t="s">
        <v>490</v>
      </c>
      <c r="C139" t="s">
        <v>738</v>
      </c>
      <c r="I139" s="4" t="str">
        <f t="shared" ca="1" si="22"/>
        <v/>
      </c>
      <c r="J139" s="4" t="str">
        <f t="shared" ca="1" si="23"/>
        <v/>
      </c>
      <c r="K139" s="4" t="str">
        <f t="shared" ca="1" si="16"/>
        <v/>
      </c>
      <c r="L139" s="4" t="str">
        <f t="shared" ca="1" si="17"/>
        <v/>
      </c>
      <c r="M139" s="4" t="str">
        <f t="shared" ca="1" si="18"/>
        <v/>
      </c>
      <c r="N139" s="4" t="str">
        <f t="shared" ca="1" si="19"/>
        <v/>
      </c>
      <c r="O139" s="4" t="str">
        <f t="shared" ca="1" si="20"/>
        <v/>
      </c>
      <c r="P139" s="4" t="str">
        <f t="shared" ca="1" si="21"/>
        <v/>
      </c>
    </row>
    <row r="140" spans="1:16" ht="14.25">
      <c r="A140" t="s">
        <v>288</v>
      </c>
      <c r="B140" t="s">
        <v>491</v>
      </c>
      <c r="C140" t="s">
        <v>739</v>
      </c>
      <c r="I140" s="4" t="str">
        <f t="shared" ca="1" si="22"/>
        <v/>
      </c>
      <c r="J140" s="4" t="str">
        <f t="shared" ca="1" si="23"/>
        <v/>
      </c>
      <c r="K140" s="4" t="str">
        <f t="shared" ca="1" si="16"/>
        <v/>
      </c>
      <c r="L140" s="4" t="str">
        <f t="shared" ca="1" si="17"/>
        <v/>
      </c>
      <c r="M140" s="4" t="str">
        <f t="shared" ca="1" si="18"/>
        <v/>
      </c>
      <c r="N140" s="4" t="str">
        <f t="shared" ca="1" si="19"/>
        <v/>
      </c>
      <c r="O140" s="4" t="str">
        <f t="shared" ca="1" si="20"/>
        <v/>
      </c>
      <c r="P140" s="4" t="str">
        <f t="shared" ca="1" si="21"/>
        <v/>
      </c>
    </row>
    <row r="141" spans="1:16" ht="14.25">
      <c r="A141" t="s">
        <v>289</v>
      </c>
      <c r="B141" t="s">
        <v>492</v>
      </c>
      <c r="C141" t="s">
        <v>740</v>
      </c>
      <c r="I141" s="4" t="str">
        <f t="shared" ca="1" si="22"/>
        <v/>
      </c>
      <c r="J141" s="4" t="str">
        <f t="shared" ca="1" si="23"/>
        <v/>
      </c>
      <c r="K141" s="4" t="str">
        <f t="shared" ca="1" si="16"/>
        <v/>
      </c>
      <c r="L141" s="4" t="str">
        <f t="shared" ca="1" si="17"/>
        <v/>
      </c>
      <c r="M141" s="4" t="str">
        <f t="shared" ca="1" si="18"/>
        <v/>
      </c>
      <c r="N141" s="4" t="str">
        <f t="shared" ca="1" si="19"/>
        <v/>
      </c>
      <c r="O141" s="4" t="str">
        <f t="shared" ca="1" si="20"/>
        <v/>
      </c>
      <c r="P141" s="4" t="str">
        <f t="shared" ca="1" si="21"/>
        <v/>
      </c>
    </row>
    <row r="142" spans="1:16" ht="14.25">
      <c r="A142" t="s">
        <v>291</v>
      </c>
      <c r="B142" t="s">
        <v>493</v>
      </c>
      <c r="C142" t="s">
        <v>741</v>
      </c>
      <c r="I142" s="4" t="str">
        <f t="shared" ca="1" si="22"/>
        <v/>
      </c>
      <c r="J142" s="4" t="str">
        <f t="shared" ca="1" si="23"/>
        <v/>
      </c>
      <c r="K142" s="4" t="str">
        <f t="shared" ca="1" si="16"/>
        <v/>
      </c>
      <c r="L142" s="4" t="str">
        <f t="shared" ca="1" si="17"/>
        <v/>
      </c>
      <c r="M142" s="4" t="str">
        <f t="shared" ca="1" si="18"/>
        <v/>
      </c>
      <c r="N142" s="4" t="str">
        <f t="shared" ca="1" si="19"/>
        <v/>
      </c>
      <c r="O142" s="4" t="str">
        <f t="shared" ca="1" si="20"/>
        <v/>
      </c>
      <c r="P142" s="4" t="str">
        <f t="shared" ca="1" si="21"/>
        <v/>
      </c>
    </row>
    <row r="143" spans="1:16" ht="14.25">
      <c r="A143" t="s">
        <v>293</v>
      </c>
      <c r="B143" t="s">
        <v>494</v>
      </c>
      <c r="C143" t="s">
        <v>742</v>
      </c>
      <c r="I143" s="4" t="str">
        <f t="shared" ca="1" si="22"/>
        <v/>
      </c>
      <c r="J143" s="4" t="str">
        <f t="shared" ca="1" si="23"/>
        <v/>
      </c>
      <c r="K143" s="4" t="str">
        <f t="shared" ca="1" si="16"/>
        <v/>
      </c>
      <c r="L143" s="4" t="str">
        <f t="shared" ca="1" si="17"/>
        <v/>
      </c>
      <c r="M143" s="4" t="str">
        <f t="shared" ca="1" si="18"/>
        <v/>
      </c>
      <c r="N143" s="4" t="str">
        <f t="shared" ca="1" si="19"/>
        <v/>
      </c>
      <c r="O143" s="4" t="str">
        <f t="shared" ca="1" si="20"/>
        <v/>
      </c>
      <c r="P143" s="4" t="str">
        <f t="shared" ca="1" si="21"/>
        <v/>
      </c>
    </row>
    <row r="144" spans="1:16" ht="14.25">
      <c r="A144" t="s">
        <v>294</v>
      </c>
      <c r="B144" t="s">
        <v>495</v>
      </c>
      <c r="C144" t="s">
        <v>743</v>
      </c>
      <c r="I144" s="4" t="str">
        <f t="shared" ca="1" si="22"/>
        <v/>
      </c>
      <c r="J144" s="4" t="str">
        <f t="shared" ca="1" si="23"/>
        <v/>
      </c>
      <c r="K144" s="4" t="str">
        <f t="shared" ca="1" si="16"/>
        <v/>
      </c>
      <c r="L144" s="4" t="str">
        <f t="shared" ca="1" si="17"/>
        <v/>
      </c>
      <c r="M144" s="4" t="str">
        <f t="shared" ca="1" si="18"/>
        <v/>
      </c>
      <c r="N144" s="4" t="str">
        <f t="shared" ca="1" si="19"/>
        <v/>
      </c>
      <c r="O144" s="4" t="str">
        <f t="shared" ca="1" si="20"/>
        <v/>
      </c>
      <c r="P144" s="4" t="str">
        <f t="shared" ca="1" si="21"/>
        <v/>
      </c>
    </row>
    <row r="145" spans="1:16" ht="14.25">
      <c r="A145" t="s">
        <v>295</v>
      </c>
      <c r="B145" t="s">
        <v>496</v>
      </c>
      <c r="C145" t="s">
        <v>744</v>
      </c>
      <c r="I145" s="4" t="str">
        <f t="shared" ca="1" si="22"/>
        <v/>
      </c>
      <c r="J145" s="4" t="str">
        <f t="shared" ca="1" si="23"/>
        <v/>
      </c>
      <c r="K145" s="4" t="str">
        <f t="shared" ca="1" si="16"/>
        <v/>
      </c>
      <c r="L145" s="4" t="str">
        <f t="shared" ca="1" si="17"/>
        <v/>
      </c>
      <c r="M145" s="4" t="str">
        <f t="shared" ca="1" si="18"/>
        <v/>
      </c>
      <c r="N145" s="4" t="str">
        <f t="shared" ca="1" si="19"/>
        <v/>
      </c>
      <c r="O145" s="4" t="str">
        <f t="shared" ca="1" si="20"/>
        <v/>
      </c>
      <c r="P145" s="4" t="str">
        <f t="shared" ca="1" si="21"/>
        <v/>
      </c>
    </row>
    <row r="146" spans="1:16" ht="14.25">
      <c r="A146" t="s">
        <v>297</v>
      </c>
      <c r="B146" t="s">
        <v>497</v>
      </c>
      <c r="C146" t="s">
        <v>745</v>
      </c>
      <c r="I146" s="4" t="str">
        <f t="shared" ca="1" si="22"/>
        <v/>
      </c>
      <c r="J146" s="4" t="str">
        <f t="shared" ca="1" si="23"/>
        <v/>
      </c>
      <c r="K146" s="4" t="str">
        <f t="shared" ca="1" si="16"/>
        <v/>
      </c>
      <c r="L146" s="4" t="str">
        <f t="shared" ca="1" si="17"/>
        <v/>
      </c>
      <c r="M146" s="4" t="str">
        <f t="shared" ca="1" si="18"/>
        <v/>
      </c>
      <c r="N146" s="4" t="str">
        <f t="shared" ca="1" si="19"/>
        <v/>
      </c>
      <c r="O146" s="4" t="str">
        <f t="shared" ca="1" si="20"/>
        <v/>
      </c>
      <c r="P146" s="4" t="str">
        <f t="shared" ca="1" si="21"/>
        <v/>
      </c>
    </row>
    <row r="147" spans="1:16" ht="14.25">
      <c r="A147" t="s">
        <v>298</v>
      </c>
      <c r="B147" t="s">
        <v>498</v>
      </c>
      <c r="C147" t="s">
        <v>746</v>
      </c>
      <c r="I147" s="4" t="str">
        <f t="shared" ca="1" si="22"/>
        <v/>
      </c>
      <c r="J147" s="4" t="str">
        <f t="shared" ca="1" si="23"/>
        <v/>
      </c>
      <c r="K147" s="4" t="str">
        <f t="shared" ca="1" si="16"/>
        <v/>
      </c>
      <c r="L147" s="4" t="str">
        <f t="shared" ca="1" si="17"/>
        <v/>
      </c>
      <c r="M147" s="4" t="str">
        <f t="shared" ca="1" si="18"/>
        <v/>
      </c>
      <c r="N147" s="4" t="str">
        <f t="shared" ca="1" si="19"/>
        <v/>
      </c>
      <c r="O147" s="4" t="str">
        <f t="shared" ca="1" si="20"/>
        <v/>
      </c>
      <c r="P147" s="4" t="str">
        <f t="shared" ca="1" si="21"/>
        <v/>
      </c>
    </row>
    <row r="148" spans="1:16" ht="14.25">
      <c r="A148" t="s">
        <v>300</v>
      </c>
      <c r="B148" t="s">
        <v>499</v>
      </c>
      <c r="C148" t="s">
        <v>747</v>
      </c>
      <c r="I148" s="4" t="str">
        <f t="shared" ca="1" si="22"/>
        <v/>
      </c>
      <c r="J148" s="4" t="str">
        <f t="shared" ca="1" si="23"/>
        <v/>
      </c>
      <c r="K148" s="4" t="str">
        <f t="shared" ca="1" si="16"/>
        <v/>
      </c>
      <c r="L148" s="4" t="str">
        <f t="shared" ca="1" si="17"/>
        <v/>
      </c>
      <c r="M148" s="4" t="str">
        <f t="shared" ca="1" si="18"/>
        <v/>
      </c>
      <c r="N148" s="4" t="str">
        <f t="shared" ca="1" si="19"/>
        <v/>
      </c>
      <c r="O148" s="4" t="str">
        <f t="shared" ca="1" si="20"/>
        <v/>
      </c>
      <c r="P148" s="4" t="str">
        <f t="shared" ca="1" si="21"/>
        <v/>
      </c>
    </row>
    <row r="149" spans="1:16" ht="14.25">
      <c r="A149" t="s">
        <v>302</v>
      </c>
      <c r="B149" t="s">
        <v>500</v>
      </c>
      <c r="C149" t="s">
        <v>748</v>
      </c>
      <c r="I149" s="4" t="str">
        <f t="shared" ca="1" si="22"/>
        <v/>
      </c>
      <c r="J149" s="4" t="str">
        <f t="shared" ca="1" si="23"/>
        <v/>
      </c>
      <c r="K149" s="4" t="str">
        <f t="shared" ca="1" si="16"/>
        <v/>
      </c>
      <c r="L149" s="4" t="str">
        <f t="shared" ca="1" si="17"/>
        <v/>
      </c>
      <c r="M149" s="4" t="str">
        <f t="shared" ca="1" si="18"/>
        <v/>
      </c>
      <c r="N149" s="4" t="str">
        <f t="shared" ca="1" si="19"/>
        <v/>
      </c>
      <c r="O149" s="4" t="str">
        <f t="shared" ca="1" si="20"/>
        <v/>
      </c>
      <c r="P149" s="4" t="str">
        <f t="shared" ca="1" si="21"/>
        <v/>
      </c>
    </row>
    <row r="150" spans="1:16" ht="14.25">
      <c r="A150" t="s">
        <v>304</v>
      </c>
      <c r="B150" t="s">
        <v>501</v>
      </c>
      <c r="C150" t="s">
        <v>749</v>
      </c>
      <c r="I150" s="4" t="str">
        <f t="shared" ca="1" si="22"/>
        <v/>
      </c>
      <c r="J150" s="4" t="str">
        <f t="shared" ca="1" si="23"/>
        <v/>
      </c>
      <c r="K150" s="4" t="str">
        <f t="shared" ca="1" si="16"/>
        <v/>
      </c>
      <c r="L150" s="4" t="str">
        <f t="shared" ca="1" si="17"/>
        <v/>
      </c>
      <c r="M150" s="4" t="str">
        <f t="shared" ca="1" si="18"/>
        <v/>
      </c>
      <c r="N150" s="4" t="str">
        <f t="shared" ca="1" si="19"/>
        <v/>
      </c>
      <c r="O150" s="4" t="str">
        <f t="shared" ca="1" si="20"/>
        <v/>
      </c>
      <c r="P150" s="4" t="str">
        <f t="shared" ca="1" si="21"/>
        <v/>
      </c>
    </row>
    <row r="151" spans="1:16" ht="14.25">
      <c r="A151" t="s">
        <v>306</v>
      </c>
      <c r="B151" t="s">
        <v>502</v>
      </c>
      <c r="C151" t="s">
        <v>750</v>
      </c>
      <c r="I151" s="4" t="str">
        <f t="shared" ca="1" si="22"/>
        <v/>
      </c>
      <c r="J151" s="4" t="str">
        <f t="shared" ca="1" si="23"/>
        <v/>
      </c>
      <c r="K151" s="4" t="str">
        <f t="shared" ca="1" si="16"/>
        <v/>
      </c>
      <c r="L151" s="4" t="str">
        <f t="shared" ca="1" si="17"/>
        <v/>
      </c>
      <c r="M151" s="4" t="str">
        <f t="shared" ca="1" si="18"/>
        <v/>
      </c>
      <c r="N151" s="4" t="str">
        <f t="shared" ca="1" si="19"/>
        <v/>
      </c>
      <c r="O151" s="4" t="str">
        <f t="shared" ca="1" si="20"/>
        <v/>
      </c>
      <c r="P151" s="4" t="str">
        <f t="shared" ca="1" si="21"/>
        <v/>
      </c>
    </row>
    <row r="152" spans="1:16" ht="14.25">
      <c r="A152" t="s">
        <v>309</v>
      </c>
      <c r="B152" t="s">
        <v>503</v>
      </c>
      <c r="C152" t="s">
        <v>751</v>
      </c>
      <c r="I152" s="4" t="str">
        <f t="shared" ca="1" si="22"/>
        <v/>
      </c>
      <c r="J152" s="4" t="str">
        <f t="shared" ca="1" si="23"/>
        <v/>
      </c>
      <c r="K152" s="4" t="str">
        <f t="shared" ca="1" si="16"/>
        <v/>
      </c>
      <c r="L152" s="4" t="str">
        <f t="shared" ca="1" si="17"/>
        <v/>
      </c>
      <c r="M152" s="4" t="str">
        <f t="shared" ca="1" si="18"/>
        <v/>
      </c>
      <c r="N152" s="4" t="str">
        <f t="shared" ca="1" si="19"/>
        <v/>
      </c>
      <c r="O152" s="4" t="str">
        <f t="shared" ca="1" si="20"/>
        <v/>
      </c>
      <c r="P152" s="4" t="str">
        <f t="shared" ca="1" si="21"/>
        <v/>
      </c>
    </row>
    <row r="153" spans="1:16" ht="14.25">
      <c r="A153" t="s">
        <v>311</v>
      </c>
      <c r="B153" t="s">
        <v>504</v>
      </c>
      <c r="C153" t="s">
        <v>752</v>
      </c>
      <c r="I153" s="4" t="str">
        <f t="shared" ca="1" si="22"/>
        <v/>
      </c>
      <c r="J153" s="4" t="str">
        <f t="shared" ca="1" si="23"/>
        <v/>
      </c>
      <c r="K153" s="4" t="str">
        <f t="shared" ca="1" si="16"/>
        <v/>
      </c>
      <c r="L153" s="4" t="str">
        <f t="shared" ca="1" si="17"/>
        <v/>
      </c>
      <c r="M153" s="4" t="str">
        <f t="shared" ca="1" si="18"/>
        <v/>
      </c>
      <c r="N153" s="4" t="str">
        <f t="shared" ca="1" si="19"/>
        <v/>
      </c>
      <c r="O153" s="4" t="str">
        <f t="shared" ca="1" si="20"/>
        <v/>
      </c>
      <c r="P153" s="4" t="str">
        <f t="shared" ca="1" si="21"/>
        <v/>
      </c>
    </row>
    <row r="154" spans="1:16" ht="14.25">
      <c r="A154" t="s">
        <v>847</v>
      </c>
      <c r="B154" t="s">
        <v>887</v>
      </c>
      <c r="C154" t="s">
        <v>940</v>
      </c>
      <c r="I154" s="4">
        <f t="shared" ca="1" si="22"/>
        <v>14154</v>
      </c>
      <c r="J154" s="4">
        <f t="shared" ca="1" si="23"/>
        <v>14</v>
      </c>
      <c r="K154" s="4" t="str">
        <f t="shared" ca="1" si="16"/>
        <v/>
      </c>
      <c r="L154" s="4">
        <f t="shared" ca="1" si="17"/>
        <v>24</v>
      </c>
      <c r="M154" s="4" t="str">
        <f t="shared" ca="1" si="18"/>
        <v/>
      </c>
      <c r="N154" s="4" t="str">
        <f t="shared" ca="1" si="19"/>
        <v/>
      </c>
      <c r="O154" s="4" t="str">
        <f t="shared" ca="1" si="20"/>
        <v/>
      </c>
      <c r="P154" s="4" t="str">
        <f t="shared" ca="1" si="21"/>
        <v/>
      </c>
    </row>
    <row r="155" spans="1:16" ht="14.25">
      <c r="A155" t="s">
        <v>848</v>
      </c>
      <c r="B155" t="s">
        <v>983</v>
      </c>
      <c r="C155" t="s">
        <v>941</v>
      </c>
      <c r="I155" s="4" t="str">
        <f t="shared" ca="1" si="22"/>
        <v/>
      </c>
      <c r="J155" s="4" t="str">
        <f t="shared" ca="1" si="23"/>
        <v/>
      </c>
      <c r="K155" s="4" t="str">
        <f t="shared" ca="1" si="16"/>
        <v/>
      </c>
      <c r="L155" s="4" t="str">
        <f t="shared" ca="1" si="17"/>
        <v/>
      </c>
      <c r="M155" s="4" t="str">
        <f t="shared" ca="1" si="18"/>
        <v/>
      </c>
      <c r="N155" s="4" t="str">
        <f t="shared" ca="1" si="19"/>
        <v/>
      </c>
      <c r="O155" s="4" t="str">
        <f t="shared" ca="1" si="20"/>
        <v/>
      </c>
      <c r="P155" s="4" t="str">
        <f t="shared" ca="1" si="21"/>
        <v/>
      </c>
    </row>
    <row r="156" spans="1:16" ht="14.25">
      <c r="A156" t="s">
        <v>984</v>
      </c>
      <c r="B156" t="s">
        <v>888</v>
      </c>
      <c r="C156" t="s">
        <v>942</v>
      </c>
      <c r="I156" s="4">
        <f t="shared" ca="1" si="22"/>
        <v>14156</v>
      </c>
      <c r="J156" s="4">
        <f t="shared" ca="1" si="23"/>
        <v>14</v>
      </c>
      <c r="K156" s="4" t="str">
        <f t="shared" ca="1" si="16"/>
        <v/>
      </c>
      <c r="L156" s="4">
        <f t="shared" ca="1" si="17"/>
        <v>24</v>
      </c>
      <c r="M156" s="4" t="str">
        <f t="shared" ca="1" si="18"/>
        <v/>
      </c>
      <c r="N156" s="4" t="str">
        <f t="shared" ca="1" si="19"/>
        <v/>
      </c>
      <c r="O156" s="4" t="str">
        <f t="shared" ca="1" si="20"/>
        <v/>
      </c>
      <c r="P156" s="4" t="str">
        <f t="shared" ca="1" si="21"/>
        <v/>
      </c>
    </row>
    <row r="157" spans="1:16" ht="14.25">
      <c r="A157" t="s">
        <v>849</v>
      </c>
      <c r="B157" t="s">
        <v>889</v>
      </c>
      <c r="C157" t="s">
        <v>943</v>
      </c>
      <c r="I157" s="4">
        <f t="shared" ca="1" si="22"/>
        <v>15157</v>
      </c>
      <c r="J157" s="4">
        <f t="shared" ca="1" si="23"/>
        <v>15</v>
      </c>
      <c r="K157" s="4" t="str">
        <f t="shared" ca="1" si="16"/>
        <v/>
      </c>
      <c r="L157" s="4">
        <f t="shared" ca="1" si="17"/>
        <v>25</v>
      </c>
      <c r="M157" s="4" t="str">
        <f t="shared" ca="1" si="18"/>
        <v/>
      </c>
      <c r="N157" s="4" t="str">
        <f t="shared" ca="1" si="19"/>
        <v/>
      </c>
      <c r="O157" s="4" t="str">
        <f t="shared" ca="1" si="20"/>
        <v/>
      </c>
      <c r="P157" s="4" t="str">
        <f t="shared" ca="1" si="21"/>
        <v/>
      </c>
    </row>
    <row r="158" spans="1:16" ht="14.25">
      <c r="A158" t="s">
        <v>850</v>
      </c>
      <c r="B158" t="s">
        <v>890</v>
      </c>
      <c r="C158" t="s">
        <v>944</v>
      </c>
      <c r="I158" s="4">
        <f t="shared" ca="1" si="22"/>
        <v>15158</v>
      </c>
      <c r="J158" s="4">
        <f t="shared" ca="1" si="23"/>
        <v>15</v>
      </c>
      <c r="K158" s="4" t="str">
        <f t="shared" ca="1" si="16"/>
        <v/>
      </c>
      <c r="L158" s="4">
        <f t="shared" ca="1" si="17"/>
        <v>25</v>
      </c>
      <c r="M158" s="4" t="str">
        <f t="shared" ca="1" si="18"/>
        <v/>
      </c>
      <c r="N158" s="4" t="str">
        <f t="shared" ca="1" si="19"/>
        <v/>
      </c>
      <c r="O158" s="4" t="str">
        <f t="shared" ca="1" si="20"/>
        <v/>
      </c>
      <c r="P158" s="4" t="str">
        <f t="shared" ca="1" si="21"/>
        <v/>
      </c>
    </row>
    <row r="159" spans="1:16" ht="14.25">
      <c r="A159" t="s">
        <v>314</v>
      </c>
      <c r="B159" t="s">
        <v>505</v>
      </c>
      <c r="C159" t="s">
        <v>753</v>
      </c>
      <c r="I159" s="4" t="str">
        <f t="shared" ca="1" si="22"/>
        <v/>
      </c>
      <c r="J159" s="4" t="str">
        <f t="shared" ca="1" si="23"/>
        <v/>
      </c>
      <c r="K159" s="4" t="str">
        <f t="shared" ca="1" si="16"/>
        <v/>
      </c>
      <c r="L159" s="4" t="str">
        <f t="shared" ca="1" si="17"/>
        <v/>
      </c>
      <c r="M159" s="4" t="str">
        <f t="shared" ca="1" si="18"/>
        <v/>
      </c>
      <c r="N159" s="4" t="str">
        <f t="shared" ca="1" si="19"/>
        <v/>
      </c>
      <c r="O159" s="4" t="str">
        <f t="shared" ca="1" si="20"/>
        <v/>
      </c>
      <c r="P159" s="4" t="str">
        <f t="shared" ca="1" si="21"/>
        <v/>
      </c>
    </row>
    <row r="160" spans="1:16" ht="14.25">
      <c r="A160" t="s">
        <v>317</v>
      </c>
      <c r="B160" t="s">
        <v>506</v>
      </c>
      <c r="C160" t="s">
        <v>754</v>
      </c>
      <c r="I160" s="4" t="str">
        <f t="shared" ca="1" si="22"/>
        <v/>
      </c>
      <c r="J160" s="4" t="str">
        <f t="shared" ca="1" si="23"/>
        <v/>
      </c>
      <c r="K160" s="4" t="str">
        <f t="shared" ca="1" si="16"/>
        <v/>
      </c>
      <c r="L160" s="4" t="str">
        <f t="shared" ca="1" si="17"/>
        <v/>
      </c>
      <c r="M160" s="4" t="str">
        <f t="shared" ca="1" si="18"/>
        <v/>
      </c>
      <c r="N160" s="4" t="str">
        <f t="shared" ca="1" si="19"/>
        <v/>
      </c>
      <c r="O160" s="4" t="str">
        <f t="shared" ca="1" si="20"/>
        <v/>
      </c>
      <c r="P160" s="4" t="str">
        <f t="shared" ca="1" si="21"/>
        <v/>
      </c>
    </row>
    <row r="161" spans="1:16" ht="14.25">
      <c r="A161" t="s">
        <v>320</v>
      </c>
      <c r="B161" t="s">
        <v>507</v>
      </c>
      <c r="C161" t="s">
        <v>755</v>
      </c>
      <c r="I161" s="4" t="str">
        <f t="shared" ca="1" si="22"/>
        <v/>
      </c>
      <c r="J161" s="4" t="str">
        <f t="shared" ca="1" si="23"/>
        <v/>
      </c>
      <c r="K161" s="4" t="str">
        <f t="shared" ca="1" si="16"/>
        <v/>
      </c>
      <c r="L161" s="4" t="str">
        <f t="shared" ca="1" si="17"/>
        <v/>
      </c>
      <c r="M161" s="4" t="str">
        <f t="shared" ca="1" si="18"/>
        <v/>
      </c>
      <c r="N161" s="4" t="str">
        <f t="shared" ca="1" si="19"/>
        <v/>
      </c>
      <c r="O161" s="4" t="str">
        <f t="shared" ca="1" si="20"/>
        <v/>
      </c>
      <c r="P161" s="4" t="str">
        <f t="shared" ca="1" si="21"/>
        <v/>
      </c>
    </row>
    <row r="162" spans="1:16" ht="14.25">
      <c r="A162" t="s">
        <v>322</v>
      </c>
      <c r="B162" t="s">
        <v>508</v>
      </c>
      <c r="C162" t="s">
        <v>756</v>
      </c>
      <c r="I162" s="4" t="str">
        <f t="shared" ca="1" si="22"/>
        <v/>
      </c>
      <c r="J162" s="4" t="str">
        <f t="shared" ca="1" si="23"/>
        <v/>
      </c>
      <c r="K162" s="4" t="str">
        <f t="shared" ca="1" si="16"/>
        <v/>
      </c>
      <c r="L162" s="4" t="str">
        <f t="shared" ca="1" si="17"/>
        <v/>
      </c>
      <c r="M162" s="4" t="str">
        <f t="shared" ca="1" si="18"/>
        <v/>
      </c>
      <c r="N162" s="4" t="str">
        <f t="shared" ca="1" si="19"/>
        <v/>
      </c>
      <c r="O162" s="4" t="str">
        <f t="shared" ca="1" si="20"/>
        <v/>
      </c>
      <c r="P162" s="4" t="str">
        <f t="shared" ca="1" si="21"/>
        <v/>
      </c>
    </row>
    <row r="163" spans="1:16" ht="14.25">
      <c r="I163" s="4" t="str">
        <f t="shared" ca="1" si="22"/>
        <v/>
      </c>
      <c r="J163" s="4" t="str">
        <f t="shared" ca="1" si="23"/>
        <v/>
      </c>
      <c r="K163" s="4" t="str">
        <f t="shared" ca="1" si="16"/>
        <v/>
      </c>
      <c r="L163" s="4" t="str">
        <f t="shared" ca="1" si="17"/>
        <v/>
      </c>
      <c r="M163" s="4" t="str">
        <f t="shared" ca="1" si="18"/>
        <v/>
      </c>
      <c r="N163" s="4" t="str">
        <f t="shared" ca="1" si="19"/>
        <v/>
      </c>
      <c r="O163" s="4" t="str">
        <f t="shared" ca="1" si="20"/>
        <v/>
      </c>
      <c r="P163" s="4" t="str">
        <f t="shared" ca="1" si="21"/>
        <v/>
      </c>
    </row>
    <row r="164" spans="1:16" ht="14.25">
      <c r="A164" t="s">
        <v>324</v>
      </c>
      <c r="B164" t="s">
        <v>509</v>
      </c>
      <c r="C164" t="s">
        <v>757</v>
      </c>
      <c r="I164" s="4">
        <f t="shared" ca="1" si="22"/>
        <v>11164</v>
      </c>
      <c r="J164" s="4">
        <f t="shared" ca="1" si="23"/>
        <v>11</v>
      </c>
      <c r="K164" s="4" t="str">
        <f t="shared" ca="1" si="16"/>
        <v/>
      </c>
      <c r="L164" s="4">
        <f t="shared" ca="1" si="17"/>
        <v>19</v>
      </c>
      <c r="M164" s="4" t="str">
        <f t="shared" ca="1" si="18"/>
        <v/>
      </c>
      <c r="N164" s="4" t="str">
        <f t="shared" ca="1" si="19"/>
        <v/>
      </c>
      <c r="O164" s="4" t="str">
        <f t="shared" ca="1" si="20"/>
        <v/>
      </c>
      <c r="P164" s="4" t="str">
        <f t="shared" ca="1" si="21"/>
        <v/>
      </c>
    </row>
    <row r="165" spans="1:16" ht="14.25">
      <c r="A165" t="s">
        <v>326</v>
      </c>
      <c r="B165" t="s">
        <v>510</v>
      </c>
      <c r="C165" t="s">
        <v>758</v>
      </c>
      <c r="I165" s="4">
        <f t="shared" ca="1" si="22"/>
        <v>11165</v>
      </c>
      <c r="J165" s="4">
        <f t="shared" ca="1" si="23"/>
        <v>11</v>
      </c>
      <c r="K165" s="4" t="str">
        <f t="shared" ca="1" si="16"/>
        <v/>
      </c>
      <c r="L165" s="4">
        <f t="shared" ca="1" si="17"/>
        <v>19</v>
      </c>
      <c r="M165" s="4" t="str">
        <f t="shared" ca="1" si="18"/>
        <v/>
      </c>
      <c r="N165" s="4" t="str">
        <f t="shared" ca="1" si="19"/>
        <v/>
      </c>
      <c r="O165" s="4" t="str">
        <f t="shared" ca="1" si="20"/>
        <v/>
      </c>
      <c r="P165" s="4" t="str">
        <f t="shared" ca="1" si="21"/>
        <v/>
      </c>
    </row>
    <row r="166" spans="1:16" ht="14.25">
      <c r="I166" s="4" t="str">
        <f t="shared" ca="1" si="22"/>
        <v/>
      </c>
      <c r="J166" s="4" t="str">
        <f t="shared" ref="J166:J229" ca="1" si="24">IF(ISERROR(SEARCH($B$1,A166)),"",SEARCH($B$1,A166))</f>
        <v/>
      </c>
      <c r="K166" s="4" t="str">
        <f t="shared" ref="K166:K229" ca="1" si="25">IF(ISERROR(SEARCH($B$1,B166)),"",SEARCH($B$1,B166))</f>
        <v/>
      </c>
      <c r="L166" s="4" t="str">
        <f t="shared" ref="L166:L229" ca="1" si="26">IF(ISERROR(SEARCH($B$1,C166)),"",SEARCH($B$1,C166))</f>
        <v/>
      </c>
      <c r="M166" s="4" t="str">
        <f t="shared" ref="M166:M229" ca="1" si="27">IF(ISERROR(SEARCH($B$1,D166)),"",SEARCH($B$1,D166))</f>
        <v/>
      </c>
      <c r="N166" s="4" t="str">
        <f t="shared" ref="N166:N229" ca="1" si="28">IF(ISERROR(SEARCH($B$1,E166)),"",SEARCH($B$1,E166))</f>
        <v/>
      </c>
      <c r="O166" s="4" t="str">
        <f t="shared" ref="O166:O229" ca="1" si="29">IF(ISERROR(SEARCH($B$1,F166)),"",SEARCH($B$1,F166))</f>
        <v/>
      </c>
      <c r="P166" s="4" t="str">
        <f t="shared" ca="1" si="21"/>
        <v/>
      </c>
    </row>
    <row r="167" spans="1:16" ht="14.25">
      <c r="A167" t="s">
        <v>327</v>
      </c>
      <c r="B167" t="s">
        <v>638</v>
      </c>
      <c r="C167" t="s">
        <v>759</v>
      </c>
      <c r="D167" t="s">
        <v>524</v>
      </c>
      <c r="I167" s="4" t="str">
        <f t="shared" ca="1" si="22"/>
        <v/>
      </c>
      <c r="J167" s="4" t="str">
        <f t="shared" ca="1" si="24"/>
        <v/>
      </c>
      <c r="K167" s="4" t="str">
        <f t="shared" ca="1" si="25"/>
        <v/>
      </c>
      <c r="L167" s="4" t="str">
        <f t="shared" ca="1" si="26"/>
        <v/>
      </c>
      <c r="M167" s="4" t="str">
        <f t="shared" ca="1" si="27"/>
        <v/>
      </c>
      <c r="N167" s="4" t="str">
        <f t="shared" ca="1" si="28"/>
        <v/>
      </c>
      <c r="O167" s="4" t="str">
        <f t="shared" ca="1" si="29"/>
        <v/>
      </c>
      <c r="P167" s="4" t="str">
        <f t="shared" ca="1" si="21"/>
        <v/>
      </c>
    </row>
    <row r="168" spans="1:16" ht="14.25">
      <c r="A168" t="s">
        <v>329</v>
      </c>
      <c r="B168" t="s">
        <v>511</v>
      </c>
      <c r="C168" t="s">
        <v>760</v>
      </c>
      <c r="I168" s="4" t="str">
        <f t="shared" ca="1" si="22"/>
        <v/>
      </c>
      <c r="J168" s="4" t="str">
        <f t="shared" ca="1" si="24"/>
        <v/>
      </c>
      <c r="K168" s="4" t="str">
        <f t="shared" ca="1" si="25"/>
        <v/>
      </c>
      <c r="L168" s="4" t="str">
        <f t="shared" ca="1" si="26"/>
        <v/>
      </c>
      <c r="M168" s="4" t="str">
        <f t="shared" ca="1" si="27"/>
        <v/>
      </c>
      <c r="N168" s="4" t="str">
        <f t="shared" ca="1" si="28"/>
        <v/>
      </c>
      <c r="O168" s="4" t="str">
        <f t="shared" ca="1" si="29"/>
        <v/>
      </c>
      <c r="P168" s="4" t="str">
        <f t="shared" ca="1" si="21"/>
        <v/>
      </c>
    </row>
    <row r="169" spans="1:16" ht="14.25">
      <c r="A169" t="s">
        <v>330</v>
      </c>
      <c r="B169" t="s">
        <v>512</v>
      </c>
      <c r="C169" t="s">
        <v>761</v>
      </c>
      <c r="F169" t="s">
        <v>642</v>
      </c>
      <c r="I169" s="4" t="str">
        <f t="shared" ca="1" si="22"/>
        <v/>
      </c>
      <c r="J169" s="4" t="str">
        <f t="shared" ca="1" si="24"/>
        <v/>
      </c>
      <c r="K169" s="4" t="str">
        <f t="shared" ca="1" si="25"/>
        <v/>
      </c>
      <c r="L169" s="4" t="str">
        <f t="shared" ca="1" si="26"/>
        <v/>
      </c>
      <c r="M169" s="4" t="str">
        <f t="shared" ca="1" si="27"/>
        <v/>
      </c>
      <c r="N169" s="4" t="str">
        <f t="shared" ca="1" si="28"/>
        <v/>
      </c>
      <c r="O169" s="4" t="str">
        <f t="shared" ca="1" si="29"/>
        <v/>
      </c>
      <c r="P169" s="4" t="str">
        <f t="shared" ca="1" si="21"/>
        <v/>
      </c>
    </row>
    <row r="170" spans="1:16" ht="14.25">
      <c r="A170" t="s">
        <v>331</v>
      </c>
      <c r="B170" t="s">
        <v>513</v>
      </c>
      <c r="C170" t="s">
        <v>762</v>
      </c>
      <c r="I170" s="4" t="str">
        <f t="shared" ca="1" si="22"/>
        <v/>
      </c>
      <c r="J170" s="4" t="str">
        <f t="shared" ca="1" si="24"/>
        <v/>
      </c>
      <c r="K170" s="4" t="str">
        <f t="shared" ca="1" si="25"/>
        <v/>
      </c>
      <c r="L170" s="4" t="str">
        <f t="shared" ca="1" si="26"/>
        <v/>
      </c>
      <c r="M170" s="4" t="str">
        <f t="shared" ca="1" si="27"/>
        <v/>
      </c>
      <c r="N170" s="4" t="str">
        <f t="shared" ca="1" si="28"/>
        <v/>
      </c>
      <c r="O170" s="4" t="str">
        <f t="shared" ca="1" si="29"/>
        <v/>
      </c>
      <c r="P170" s="4" t="str">
        <f t="shared" ca="1" si="21"/>
        <v/>
      </c>
    </row>
    <row r="171" spans="1:16" ht="14.25">
      <c r="A171" t="s">
        <v>333</v>
      </c>
      <c r="B171" t="s">
        <v>514</v>
      </c>
      <c r="C171" t="s">
        <v>763</v>
      </c>
      <c r="I171" s="4" t="str">
        <f t="shared" ca="1" si="22"/>
        <v/>
      </c>
      <c r="J171" s="4" t="str">
        <f t="shared" ca="1" si="24"/>
        <v/>
      </c>
      <c r="K171" s="4" t="str">
        <f t="shared" ca="1" si="25"/>
        <v/>
      </c>
      <c r="L171" s="4" t="str">
        <f t="shared" ca="1" si="26"/>
        <v/>
      </c>
      <c r="M171" s="4" t="str">
        <f t="shared" ca="1" si="27"/>
        <v/>
      </c>
      <c r="N171" s="4" t="str">
        <f t="shared" ca="1" si="28"/>
        <v/>
      </c>
      <c r="O171" s="4" t="str">
        <f t="shared" ca="1" si="29"/>
        <v/>
      </c>
      <c r="P171" s="4" t="str">
        <f t="shared" ca="1" si="21"/>
        <v/>
      </c>
    </row>
    <row r="172" spans="1:16" ht="14.25">
      <c r="A172" t="s">
        <v>334</v>
      </c>
      <c r="B172" t="s">
        <v>515</v>
      </c>
      <c r="C172" t="s">
        <v>764</v>
      </c>
      <c r="I172" s="4" t="str">
        <f t="shared" ca="1" si="22"/>
        <v/>
      </c>
      <c r="J172" s="4" t="str">
        <f t="shared" ca="1" si="24"/>
        <v/>
      </c>
      <c r="K172" s="4" t="str">
        <f t="shared" ca="1" si="25"/>
        <v/>
      </c>
      <c r="L172" s="4" t="str">
        <f t="shared" ca="1" si="26"/>
        <v/>
      </c>
      <c r="M172" s="4" t="str">
        <f t="shared" ca="1" si="27"/>
        <v/>
      </c>
      <c r="N172" s="4" t="str">
        <f t="shared" ca="1" si="28"/>
        <v/>
      </c>
      <c r="O172" s="4" t="str">
        <f t="shared" ca="1" si="29"/>
        <v/>
      </c>
      <c r="P172" s="4" t="str">
        <f t="shared" ca="1" si="21"/>
        <v/>
      </c>
    </row>
    <row r="173" spans="1:16" ht="14.25">
      <c r="I173" s="4" t="str">
        <f t="shared" ca="1" si="22"/>
        <v/>
      </c>
      <c r="J173" s="4" t="str">
        <f t="shared" ca="1" si="24"/>
        <v/>
      </c>
      <c r="K173" s="4" t="str">
        <f t="shared" ca="1" si="25"/>
        <v/>
      </c>
      <c r="L173" s="4" t="str">
        <f t="shared" ca="1" si="26"/>
        <v/>
      </c>
      <c r="M173" s="4" t="str">
        <f t="shared" ca="1" si="27"/>
        <v/>
      </c>
      <c r="N173" s="4" t="str">
        <f t="shared" ca="1" si="28"/>
        <v/>
      </c>
      <c r="O173" s="4" t="str">
        <f t="shared" ca="1" si="29"/>
        <v/>
      </c>
      <c r="P173" s="4" t="str">
        <f t="shared" ca="1" si="21"/>
        <v/>
      </c>
    </row>
    <row r="174" spans="1:16" ht="14.25">
      <c r="A174" t="s">
        <v>384</v>
      </c>
      <c r="B174" t="s">
        <v>520</v>
      </c>
      <c r="C174" t="s">
        <v>769</v>
      </c>
      <c r="D174" t="s">
        <v>524</v>
      </c>
      <c r="E174" t="s">
        <v>930</v>
      </c>
      <c r="F174" t="s">
        <v>534</v>
      </c>
      <c r="I174" s="4" t="str">
        <f t="shared" ca="1" si="22"/>
        <v/>
      </c>
      <c r="J174" s="4" t="str">
        <f t="shared" ca="1" si="24"/>
        <v/>
      </c>
      <c r="K174" s="4" t="str">
        <f t="shared" ca="1" si="25"/>
        <v/>
      </c>
      <c r="L174" s="4" t="str">
        <f t="shared" ca="1" si="26"/>
        <v/>
      </c>
      <c r="M174" s="4" t="str">
        <f t="shared" ca="1" si="27"/>
        <v/>
      </c>
      <c r="N174" s="4" t="str">
        <f t="shared" ca="1" si="28"/>
        <v/>
      </c>
      <c r="O174" s="4" t="str">
        <f t="shared" ca="1" si="29"/>
        <v/>
      </c>
      <c r="P174" s="4" t="str">
        <f t="shared" ca="1" si="21"/>
        <v/>
      </c>
    </row>
    <row r="175" spans="1:16" ht="14.25">
      <c r="A175" t="s">
        <v>385</v>
      </c>
      <c r="B175" t="s">
        <v>521</v>
      </c>
      <c r="C175" t="s">
        <v>770</v>
      </c>
      <c r="I175" s="4" t="str">
        <f t="shared" ca="1" si="22"/>
        <v/>
      </c>
      <c r="J175" s="4" t="str">
        <f t="shared" ca="1" si="24"/>
        <v/>
      </c>
      <c r="K175" s="4" t="str">
        <f t="shared" ca="1" si="25"/>
        <v/>
      </c>
      <c r="L175" s="4" t="str">
        <f t="shared" ca="1" si="26"/>
        <v/>
      </c>
      <c r="M175" s="4" t="str">
        <f t="shared" ca="1" si="27"/>
        <v/>
      </c>
      <c r="N175" s="4" t="str">
        <f t="shared" ca="1" si="28"/>
        <v/>
      </c>
      <c r="O175" s="4" t="str">
        <f t="shared" ca="1" si="29"/>
        <v/>
      </c>
      <c r="P175" s="4" t="str">
        <f t="shared" ca="1" si="21"/>
        <v/>
      </c>
    </row>
    <row r="176" spans="1:16" ht="14.25">
      <c r="A176" t="s">
        <v>387</v>
      </c>
      <c r="B176" t="s">
        <v>891</v>
      </c>
      <c r="C176" t="s">
        <v>945</v>
      </c>
      <c r="I176" s="4" t="str">
        <f t="shared" ca="1" si="22"/>
        <v/>
      </c>
      <c r="J176" s="4" t="str">
        <f t="shared" ca="1" si="24"/>
        <v/>
      </c>
      <c r="K176" s="4" t="str">
        <f t="shared" ca="1" si="25"/>
        <v/>
      </c>
      <c r="L176" s="4" t="str">
        <f t="shared" ca="1" si="26"/>
        <v/>
      </c>
      <c r="M176" s="4" t="str">
        <f t="shared" ca="1" si="27"/>
        <v/>
      </c>
      <c r="N176" s="4" t="str">
        <f t="shared" ca="1" si="28"/>
        <v/>
      </c>
      <c r="O176" s="4" t="str">
        <f t="shared" ca="1" si="29"/>
        <v/>
      </c>
    </row>
    <row r="177" spans="1:15" ht="14.25">
      <c r="A177" t="s">
        <v>386</v>
      </c>
      <c r="B177" t="s">
        <v>1086</v>
      </c>
      <c r="C177" t="s">
        <v>1087</v>
      </c>
      <c r="F177" t="s">
        <v>642</v>
      </c>
      <c r="I177" s="4" t="str">
        <f t="shared" ca="1" si="22"/>
        <v/>
      </c>
      <c r="J177" s="4" t="str">
        <f t="shared" ca="1" si="24"/>
        <v/>
      </c>
      <c r="K177" s="4" t="str">
        <f t="shared" ca="1" si="25"/>
        <v/>
      </c>
      <c r="L177" s="4" t="str">
        <f t="shared" ca="1" si="26"/>
        <v/>
      </c>
      <c r="M177" s="4" t="str">
        <f t="shared" ca="1" si="27"/>
        <v/>
      </c>
      <c r="N177" s="4" t="str">
        <f t="shared" ca="1" si="28"/>
        <v/>
      </c>
      <c r="O177" s="4" t="str">
        <f t="shared" ca="1" si="29"/>
        <v/>
      </c>
    </row>
    <row r="178" spans="1:15" ht="14.25">
      <c r="A178" t="s">
        <v>1034</v>
      </c>
      <c r="B178" t="s">
        <v>892</v>
      </c>
      <c r="C178" t="s">
        <v>946</v>
      </c>
      <c r="I178" s="4">
        <f t="shared" ca="1" si="22"/>
        <v>16178</v>
      </c>
      <c r="J178" s="4">
        <f t="shared" ca="1" si="24"/>
        <v>16</v>
      </c>
      <c r="K178" s="4" t="str">
        <f t="shared" ca="1" si="25"/>
        <v/>
      </c>
      <c r="L178" s="4">
        <f t="shared" ca="1" si="26"/>
        <v>24</v>
      </c>
      <c r="M178" s="4" t="str">
        <f t="shared" ca="1" si="27"/>
        <v/>
      </c>
      <c r="N178" s="4" t="str">
        <f t="shared" ca="1" si="28"/>
        <v/>
      </c>
      <c r="O178" s="4" t="str">
        <f t="shared" ca="1" si="29"/>
        <v/>
      </c>
    </row>
    <row r="179" spans="1:15" ht="14.25">
      <c r="A179" t="s">
        <v>1035</v>
      </c>
      <c r="B179" t="s">
        <v>893</v>
      </c>
      <c r="C179" t="s">
        <v>947</v>
      </c>
      <c r="I179" s="4">
        <f t="shared" ca="1" si="22"/>
        <v>17179</v>
      </c>
      <c r="J179" s="4">
        <f t="shared" ca="1" si="24"/>
        <v>17</v>
      </c>
      <c r="K179" s="4" t="str">
        <f t="shared" ca="1" si="25"/>
        <v/>
      </c>
      <c r="L179" s="4">
        <f t="shared" ca="1" si="26"/>
        <v>25</v>
      </c>
      <c r="M179" s="4" t="str">
        <f t="shared" ca="1" si="27"/>
        <v/>
      </c>
      <c r="N179" s="4" t="str">
        <f t="shared" ca="1" si="28"/>
        <v/>
      </c>
      <c r="O179" s="4" t="str">
        <f t="shared" ca="1" si="29"/>
        <v/>
      </c>
    </row>
    <row r="180" spans="1:15" ht="14.25">
      <c r="A180" t="s">
        <v>389</v>
      </c>
      <c r="B180" t="s">
        <v>522</v>
      </c>
      <c r="C180" t="s">
        <v>771</v>
      </c>
      <c r="I180" s="4" t="str">
        <f t="shared" ref="I180:I193" ca="1" si="30">IF(MAX(J180:P180)=0,"",MIN(J180:P180)*1000+ROW())</f>
        <v/>
      </c>
      <c r="J180" s="4" t="str">
        <f t="shared" ref="J180:J193" ca="1" si="31">IF(ISERROR(SEARCH($B$1,A180)),"",SEARCH($B$1,A180))</f>
        <v/>
      </c>
      <c r="K180" s="4" t="str">
        <f t="shared" ref="K180:K193" ca="1" si="32">IF(ISERROR(SEARCH($B$1,B180)),"",SEARCH($B$1,B180))</f>
        <v/>
      </c>
      <c r="L180" s="4" t="str">
        <f t="shared" ref="L180:L193" ca="1" si="33">IF(ISERROR(SEARCH($B$1,C180)),"",SEARCH($B$1,C180))</f>
        <v/>
      </c>
      <c r="M180" s="4" t="str">
        <f t="shared" ref="M180:M193" ca="1" si="34">IF(ISERROR(SEARCH($B$1,D180)),"",SEARCH($B$1,D180))</f>
        <v/>
      </c>
      <c r="N180" s="4" t="str">
        <f t="shared" ref="N180:N193" ca="1" si="35">IF(ISERROR(SEARCH($B$1,E180)),"",SEARCH($B$1,E180))</f>
        <v/>
      </c>
      <c r="O180" s="4" t="str">
        <f t="shared" ref="O180:O193" ca="1" si="36">IF(ISERROR(SEARCH($B$1,F180)),"",SEARCH($B$1,F180))</f>
        <v/>
      </c>
    </row>
    <row r="181" spans="1:15" ht="14.25">
      <c r="A181" t="s">
        <v>851</v>
      </c>
      <c r="B181" t="s">
        <v>894</v>
      </c>
      <c r="C181" t="s">
        <v>948</v>
      </c>
      <c r="I181" s="4" t="str">
        <f t="shared" ca="1" si="30"/>
        <v/>
      </c>
      <c r="J181" s="4" t="str">
        <f t="shared" ca="1" si="31"/>
        <v/>
      </c>
      <c r="K181" s="4" t="str">
        <f t="shared" ca="1" si="32"/>
        <v/>
      </c>
      <c r="L181" s="4" t="str">
        <f t="shared" ca="1" si="33"/>
        <v/>
      </c>
      <c r="M181" s="4" t="str">
        <f t="shared" ca="1" si="34"/>
        <v/>
      </c>
      <c r="N181" s="4" t="str">
        <f t="shared" ca="1" si="35"/>
        <v/>
      </c>
      <c r="O181" s="4" t="str">
        <f t="shared" ca="1" si="36"/>
        <v/>
      </c>
    </row>
    <row r="182" spans="1:15" ht="14.25">
      <c r="A182" t="s">
        <v>988</v>
      </c>
      <c r="B182" t="s">
        <v>990</v>
      </c>
      <c r="C182" t="s">
        <v>992</v>
      </c>
      <c r="I182" s="4" t="str">
        <f t="shared" ca="1" si="30"/>
        <v/>
      </c>
      <c r="J182" s="4" t="str">
        <f t="shared" ca="1" si="31"/>
        <v/>
      </c>
      <c r="K182" s="4" t="str">
        <f t="shared" ca="1" si="32"/>
        <v/>
      </c>
      <c r="L182" s="4" t="str">
        <f t="shared" ca="1" si="33"/>
        <v/>
      </c>
      <c r="M182" s="4" t="str">
        <f t="shared" ca="1" si="34"/>
        <v/>
      </c>
      <c r="N182" s="4" t="str">
        <f t="shared" ca="1" si="35"/>
        <v/>
      </c>
      <c r="O182" s="4" t="str">
        <f t="shared" ca="1" si="36"/>
        <v/>
      </c>
    </row>
    <row r="183" spans="1:15" ht="14.25">
      <c r="A183" t="s">
        <v>986</v>
      </c>
      <c r="B183" t="s">
        <v>991</v>
      </c>
      <c r="C183" t="s">
        <v>993</v>
      </c>
      <c r="I183" s="4" t="str">
        <f t="shared" ca="1" si="30"/>
        <v/>
      </c>
      <c r="J183" s="4" t="str">
        <f t="shared" ca="1" si="31"/>
        <v/>
      </c>
      <c r="K183" s="4" t="str">
        <f t="shared" ca="1" si="32"/>
        <v/>
      </c>
      <c r="L183" s="4" t="str">
        <f t="shared" ca="1" si="33"/>
        <v/>
      </c>
      <c r="M183" s="4" t="str">
        <f t="shared" ca="1" si="34"/>
        <v/>
      </c>
      <c r="N183" s="4" t="str">
        <f t="shared" ca="1" si="35"/>
        <v/>
      </c>
      <c r="O183" s="4" t="str">
        <f t="shared" ca="1" si="36"/>
        <v/>
      </c>
    </row>
    <row r="184" spans="1:15" ht="14.25">
      <c r="A184" t="s">
        <v>1241</v>
      </c>
      <c r="B184" t="s">
        <v>1224</v>
      </c>
      <c r="C184" t="s">
        <v>1225</v>
      </c>
      <c r="I184" s="4" t="str">
        <f t="shared" ca="1" si="30"/>
        <v/>
      </c>
      <c r="J184" s="4" t="str">
        <f t="shared" ca="1" si="31"/>
        <v/>
      </c>
      <c r="K184" s="4" t="str">
        <f t="shared" ca="1" si="32"/>
        <v/>
      </c>
      <c r="L184" s="4" t="str">
        <f t="shared" ca="1" si="33"/>
        <v/>
      </c>
      <c r="M184" s="4" t="str">
        <f t="shared" ca="1" si="34"/>
        <v/>
      </c>
      <c r="N184" s="4" t="str">
        <f t="shared" ca="1" si="35"/>
        <v/>
      </c>
      <c r="O184" s="4" t="str">
        <f t="shared" ca="1" si="36"/>
        <v/>
      </c>
    </row>
    <row r="185" spans="1:15" ht="14.25">
      <c r="A185" t="s">
        <v>1239</v>
      </c>
      <c r="B185" t="s">
        <v>1242</v>
      </c>
      <c r="C185" t="s">
        <v>1243</v>
      </c>
      <c r="I185" s="4" t="str">
        <f t="shared" ca="1" si="30"/>
        <v/>
      </c>
      <c r="J185" s="4" t="str">
        <f t="shared" ca="1" si="31"/>
        <v/>
      </c>
      <c r="K185" s="4" t="str">
        <f t="shared" ca="1" si="32"/>
        <v/>
      </c>
      <c r="L185" s="4" t="str">
        <f t="shared" ca="1" si="33"/>
        <v/>
      </c>
      <c r="M185" s="4" t="str">
        <f t="shared" ca="1" si="34"/>
        <v/>
      </c>
      <c r="N185" s="4" t="str">
        <f t="shared" ca="1" si="35"/>
        <v/>
      </c>
      <c r="O185" s="4" t="str">
        <f t="shared" ca="1" si="36"/>
        <v/>
      </c>
    </row>
    <row r="186" spans="1:15" ht="14.25">
      <c r="A186" t="s">
        <v>824</v>
      </c>
      <c r="B186" t="s">
        <v>895</v>
      </c>
      <c r="C186" t="s">
        <v>949</v>
      </c>
      <c r="I186" s="4" t="str">
        <f t="shared" ca="1" si="30"/>
        <v/>
      </c>
      <c r="J186" s="4" t="str">
        <f t="shared" ca="1" si="31"/>
        <v/>
      </c>
      <c r="K186" s="4" t="str">
        <f t="shared" ca="1" si="32"/>
        <v/>
      </c>
      <c r="L186" s="4" t="str">
        <f t="shared" ca="1" si="33"/>
        <v/>
      </c>
      <c r="M186" s="4" t="str">
        <f t="shared" ca="1" si="34"/>
        <v/>
      </c>
      <c r="N186" s="4" t="str">
        <f t="shared" ca="1" si="35"/>
        <v/>
      </c>
      <c r="O186" s="4" t="str">
        <f t="shared" ca="1" si="36"/>
        <v/>
      </c>
    </row>
    <row r="187" spans="1:15" ht="14.25">
      <c r="A187" t="s">
        <v>825</v>
      </c>
      <c r="B187" t="s">
        <v>896</v>
      </c>
      <c r="C187" t="s">
        <v>950</v>
      </c>
      <c r="I187" s="4" t="str">
        <f t="shared" ca="1" si="30"/>
        <v/>
      </c>
      <c r="J187" s="4" t="str">
        <f t="shared" ca="1" si="31"/>
        <v/>
      </c>
      <c r="K187" s="4" t="str">
        <f t="shared" ca="1" si="32"/>
        <v/>
      </c>
      <c r="L187" s="4" t="str">
        <f t="shared" ca="1" si="33"/>
        <v/>
      </c>
      <c r="M187" s="4" t="str">
        <f t="shared" ca="1" si="34"/>
        <v/>
      </c>
      <c r="N187" s="4" t="str">
        <f t="shared" ca="1" si="35"/>
        <v/>
      </c>
      <c r="O187" s="4" t="str">
        <f t="shared" ca="1" si="36"/>
        <v/>
      </c>
    </row>
    <row r="188" spans="1:15" ht="14.25">
      <c r="A188" t="s">
        <v>832</v>
      </c>
      <c r="B188" t="s">
        <v>897</v>
      </c>
      <c r="C188" t="s">
        <v>951</v>
      </c>
      <c r="I188" s="4">
        <f t="shared" ca="1" si="30"/>
        <v>20188</v>
      </c>
      <c r="J188" s="4">
        <f t="shared" ca="1" si="31"/>
        <v>20</v>
      </c>
      <c r="K188" s="4" t="str">
        <f t="shared" ca="1" si="32"/>
        <v/>
      </c>
      <c r="L188" s="4">
        <f t="shared" ca="1" si="33"/>
        <v>37</v>
      </c>
      <c r="M188" s="4" t="str">
        <f t="shared" ca="1" si="34"/>
        <v/>
      </c>
      <c r="N188" s="4" t="str">
        <f t="shared" ca="1" si="35"/>
        <v/>
      </c>
      <c r="O188" s="4" t="str">
        <f t="shared" ca="1" si="36"/>
        <v/>
      </c>
    </row>
    <row r="189" spans="1:15" ht="14.25">
      <c r="A189" t="s">
        <v>833</v>
      </c>
      <c r="B189" t="s">
        <v>898</v>
      </c>
      <c r="C189" t="s">
        <v>952</v>
      </c>
      <c r="I189" s="4">
        <f t="shared" ca="1" si="30"/>
        <v>20189</v>
      </c>
      <c r="J189" s="4">
        <f t="shared" ca="1" si="31"/>
        <v>20</v>
      </c>
      <c r="K189" s="4" t="str">
        <f t="shared" ca="1" si="32"/>
        <v/>
      </c>
      <c r="L189" s="4">
        <f t="shared" ca="1" si="33"/>
        <v>37</v>
      </c>
      <c r="M189" s="4" t="str">
        <f t="shared" ca="1" si="34"/>
        <v/>
      </c>
      <c r="N189" s="4" t="str">
        <f t="shared" ca="1" si="35"/>
        <v/>
      </c>
      <c r="O189" s="4" t="str">
        <f t="shared" ca="1" si="36"/>
        <v/>
      </c>
    </row>
    <row r="190" spans="1:15" ht="14.25">
      <c r="A190" t="s">
        <v>1081</v>
      </c>
      <c r="B190" t="s">
        <v>1082</v>
      </c>
      <c r="C190" t="s">
        <v>1083</v>
      </c>
      <c r="I190" s="4" t="str">
        <f t="shared" ca="1" si="30"/>
        <v/>
      </c>
      <c r="J190" s="4" t="str">
        <f t="shared" ca="1" si="31"/>
        <v/>
      </c>
      <c r="K190" s="4" t="str">
        <f t="shared" ca="1" si="32"/>
        <v/>
      </c>
      <c r="L190" s="4" t="str">
        <f t="shared" ca="1" si="33"/>
        <v/>
      </c>
      <c r="M190" s="4" t="str">
        <f t="shared" ca="1" si="34"/>
        <v/>
      </c>
      <c r="N190" s="4" t="str">
        <f t="shared" ca="1" si="35"/>
        <v/>
      </c>
      <c r="O190" s="4" t="str">
        <f t="shared" ca="1" si="36"/>
        <v/>
      </c>
    </row>
    <row r="191" spans="1:15" ht="14.25">
      <c r="A191" t="s">
        <v>391</v>
      </c>
      <c r="B191" t="s">
        <v>523</v>
      </c>
      <c r="C191" t="s">
        <v>772</v>
      </c>
      <c r="I191" s="4" t="str">
        <f t="shared" ca="1" si="30"/>
        <v/>
      </c>
      <c r="J191" s="4" t="str">
        <f t="shared" ca="1" si="31"/>
        <v/>
      </c>
      <c r="K191" s="4" t="str">
        <f t="shared" ca="1" si="32"/>
        <v/>
      </c>
      <c r="L191" s="4" t="str">
        <f t="shared" ca="1" si="33"/>
        <v/>
      </c>
      <c r="M191" s="4" t="str">
        <f t="shared" ca="1" si="34"/>
        <v/>
      </c>
      <c r="N191" s="4" t="str">
        <f t="shared" ca="1" si="35"/>
        <v/>
      </c>
      <c r="O191" s="4" t="str">
        <f t="shared" ca="1" si="36"/>
        <v/>
      </c>
    </row>
    <row r="192" spans="1:15" ht="14.25">
      <c r="A192" t="s">
        <v>827</v>
      </c>
      <c r="B192" t="s">
        <v>899</v>
      </c>
      <c r="C192" t="s">
        <v>953</v>
      </c>
      <c r="I192" s="4" t="str">
        <f t="shared" ca="1" si="30"/>
        <v/>
      </c>
      <c r="J192" s="4" t="str">
        <f t="shared" ca="1" si="31"/>
        <v/>
      </c>
      <c r="K192" s="4" t="str">
        <f t="shared" ca="1" si="32"/>
        <v/>
      </c>
      <c r="L192" s="4" t="str">
        <f t="shared" ca="1" si="33"/>
        <v/>
      </c>
      <c r="M192" s="4" t="str">
        <f t="shared" ca="1" si="34"/>
        <v/>
      </c>
      <c r="N192" s="4" t="str">
        <f t="shared" ca="1" si="35"/>
        <v/>
      </c>
      <c r="O192" s="4" t="str">
        <f t="shared" ca="1" si="36"/>
        <v/>
      </c>
    </row>
    <row r="193" spans="1:15" ht="14.25">
      <c r="A193" t="s">
        <v>828</v>
      </c>
      <c r="B193" t="s">
        <v>1084</v>
      </c>
      <c r="C193" t="s">
        <v>1085</v>
      </c>
      <c r="I193" s="4" t="str">
        <f t="shared" ca="1" si="30"/>
        <v/>
      </c>
      <c r="J193" s="4" t="str">
        <f t="shared" ca="1" si="31"/>
        <v/>
      </c>
      <c r="K193" s="4" t="str">
        <f t="shared" ca="1" si="32"/>
        <v/>
      </c>
      <c r="L193" s="4" t="str">
        <f t="shared" ca="1" si="33"/>
        <v/>
      </c>
      <c r="M193" s="4" t="str">
        <f t="shared" ca="1" si="34"/>
        <v/>
      </c>
      <c r="N193" s="4" t="str">
        <f t="shared" ca="1" si="35"/>
        <v/>
      </c>
      <c r="O193" s="4" t="str">
        <f t="shared" ca="1" si="36"/>
        <v/>
      </c>
    </row>
    <row r="194" spans="1:15" ht="14.25">
      <c r="A194" t="s">
        <v>829</v>
      </c>
      <c r="B194" t="s">
        <v>900</v>
      </c>
      <c r="C194" t="s">
        <v>954</v>
      </c>
      <c r="I194" s="4">
        <f t="shared" ca="1" si="22"/>
        <v>12194</v>
      </c>
      <c r="J194" s="4">
        <f t="shared" ca="1" si="24"/>
        <v>12</v>
      </c>
      <c r="K194" s="4" t="str">
        <f t="shared" ca="1" si="25"/>
        <v/>
      </c>
      <c r="L194" s="4">
        <f t="shared" ca="1" si="26"/>
        <v>16</v>
      </c>
      <c r="M194" s="4" t="str">
        <f t="shared" ca="1" si="27"/>
        <v/>
      </c>
      <c r="N194" s="4" t="str">
        <f t="shared" ca="1" si="28"/>
        <v/>
      </c>
      <c r="O194" s="4" t="str">
        <f t="shared" ca="1" si="29"/>
        <v/>
      </c>
    </row>
    <row r="195" spans="1:15" ht="14.25">
      <c r="A195" t="s">
        <v>830</v>
      </c>
      <c r="B195" t="s">
        <v>901</v>
      </c>
      <c r="C195" t="s">
        <v>955</v>
      </c>
      <c r="I195" s="4">
        <f t="shared" ca="1" si="22"/>
        <v>12195</v>
      </c>
      <c r="J195" s="4">
        <f t="shared" ca="1" si="24"/>
        <v>12</v>
      </c>
      <c r="K195" s="4" t="str">
        <f t="shared" ca="1" si="25"/>
        <v/>
      </c>
      <c r="L195" s="4">
        <f t="shared" ca="1" si="26"/>
        <v>16</v>
      </c>
      <c r="M195" s="4" t="str">
        <f t="shared" ca="1" si="27"/>
        <v/>
      </c>
      <c r="N195" s="4" t="str">
        <f t="shared" ca="1" si="28"/>
        <v/>
      </c>
      <c r="O195" s="4" t="str">
        <f t="shared" ca="1" si="29"/>
        <v/>
      </c>
    </row>
    <row r="196" spans="1:15" ht="14.25">
      <c r="A196" t="s">
        <v>852</v>
      </c>
      <c r="B196" t="s">
        <v>902</v>
      </c>
      <c r="C196" t="s">
        <v>956</v>
      </c>
      <c r="I196" s="4" t="str">
        <f t="shared" ca="1" si="22"/>
        <v/>
      </c>
      <c r="J196" s="4" t="str">
        <f t="shared" ca="1" si="24"/>
        <v/>
      </c>
      <c r="K196" s="4" t="str">
        <f t="shared" ca="1" si="25"/>
        <v/>
      </c>
      <c r="L196" s="4" t="str">
        <f t="shared" ca="1" si="26"/>
        <v/>
      </c>
      <c r="M196" s="4" t="str">
        <f t="shared" ca="1" si="27"/>
        <v/>
      </c>
      <c r="N196" s="4" t="str">
        <f t="shared" ca="1" si="28"/>
        <v/>
      </c>
      <c r="O196" s="4" t="str">
        <f t="shared" ca="1" si="29"/>
        <v/>
      </c>
    </row>
    <row r="197" spans="1:15" ht="14.25">
      <c r="A197" t="s">
        <v>853</v>
      </c>
      <c r="B197" t="s">
        <v>903</v>
      </c>
      <c r="C197" t="s">
        <v>957</v>
      </c>
      <c r="I197" s="4">
        <f t="shared" ca="1" si="22"/>
        <v>12197</v>
      </c>
      <c r="J197" s="4">
        <f t="shared" ca="1" si="24"/>
        <v>12</v>
      </c>
      <c r="K197" s="4" t="str">
        <f t="shared" ca="1" si="25"/>
        <v/>
      </c>
      <c r="L197" s="4">
        <f t="shared" ca="1" si="26"/>
        <v>14</v>
      </c>
      <c r="M197" s="4" t="str">
        <f t="shared" ca="1" si="27"/>
        <v/>
      </c>
      <c r="N197" s="4" t="str">
        <f t="shared" ca="1" si="28"/>
        <v/>
      </c>
      <c r="O197" s="4" t="str">
        <f t="shared" ca="1" si="29"/>
        <v/>
      </c>
    </row>
    <row r="198" spans="1:15" ht="14.25">
      <c r="A198" t="s">
        <v>1037</v>
      </c>
      <c r="B198" t="s">
        <v>1039</v>
      </c>
      <c r="C198" t="s">
        <v>1038</v>
      </c>
      <c r="I198" s="4" t="str">
        <f t="shared" ca="1" si="22"/>
        <v/>
      </c>
      <c r="J198" s="4" t="str">
        <f t="shared" ca="1" si="24"/>
        <v/>
      </c>
      <c r="K198" s="4" t="str">
        <f ca="1">IF(ISERROR(SEARCH($B$1,B198)),"",SEARCH($B$1,B198))</f>
        <v/>
      </c>
      <c r="L198" s="4" t="str">
        <f ca="1">IF(ISERROR(SEARCH($B$1,C198)),"",SEARCH($B$1,C198))</f>
        <v/>
      </c>
      <c r="M198" s="4"/>
      <c r="N198" s="4"/>
      <c r="O198" s="4"/>
    </row>
    <row r="199" spans="1:15" ht="14.25">
      <c r="I199" s="4" t="str">
        <f t="shared" ref="I199:I229" si="37">IF(MAX(J199:P199)=0,"",MIN(J199:P199)*1000+ROW())</f>
        <v/>
      </c>
      <c r="J199" s="4"/>
      <c r="K199" s="4"/>
      <c r="L199" s="4"/>
      <c r="M199" s="4"/>
      <c r="N199" s="4"/>
      <c r="O199" s="4"/>
    </row>
    <row r="200" spans="1:15" ht="14.25">
      <c r="I200" s="4" t="str">
        <f t="shared" ca="1" si="37"/>
        <v/>
      </c>
      <c r="J200" s="4" t="str">
        <f t="shared" ca="1" si="24"/>
        <v/>
      </c>
      <c r="K200" s="4" t="str">
        <f t="shared" ca="1" si="25"/>
        <v/>
      </c>
      <c r="L200" s="4" t="str">
        <f t="shared" ca="1" si="26"/>
        <v/>
      </c>
      <c r="M200" s="4" t="str">
        <f t="shared" ca="1" si="27"/>
        <v/>
      </c>
      <c r="N200" s="4" t="str">
        <f t="shared" ca="1" si="28"/>
        <v/>
      </c>
      <c r="O200" s="4" t="str">
        <f t="shared" ca="1" si="29"/>
        <v/>
      </c>
    </row>
    <row r="201" spans="1:15" ht="14.25">
      <c r="A201" t="s">
        <v>854</v>
      </c>
      <c r="B201" t="s">
        <v>904</v>
      </c>
      <c r="C201" t="s">
        <v>958</v>
      </c>
      <c r="I201" s="4" t="str">
        <f t="shared" ca="1" si="37"/>
        <v/>
      </c>
      <c r="J201" s="4" t="str">
        <f t="shared" ca="1" si="24"/>
        <v/>
      </c>
      <c r="K201" s="4" t="str">
        <f t="shared" ca="1" si="25"/>
        <v/>
      </c>
      <c r="L201" s="4" t="str">
        <f t="shared" ca="1" si="26"/>
        <v/>
      </c>
      <c r="M201" s="4" t="str">
        <f t="shared" ca="1" si="27"/>
        <v/>
      </c>
      <c r="N201" s="4" t="str">
        <f t="shared" ca="1" si="28"/>
        <v/>
      </c>
      <c r="O201" s="4" t="str">
        <f t="shared" ca="1" si="29"/>
        <v/>
      </c>
    </row>
    <row r="202" spans="1:15" ht="14.25">
      <c r="A202" t="s">
        <v>855</v>
      </c>
      <c r="B202" t="s">
        <v>905</v>
      </c>
      <c r="C202" t="s">
        <v>959</v>
      </c>
      <c r="I202" s="4" t="str">
        <f t="shared" ca="1" si="37"/>
        <v/>
      </c>
      <c r="J202" s="4" t="str">
        <f t="shared" ca="1" si="24"/>
        <v/>
      </c>
      <c r="K202" s="4" t="str">
        <f t="shared" ca="1" si="25"/>
        <v/>
      </c>
      <c r="L202" s="4" t="str">
        <f t="shared" ca="1" si="26"/>
        <v/>
      </c>
      <c r="M202" s="4" t="str">
        <f t="shared" ca="1" si="27"/>
        <v/>
      </c>
      <c r="N202" s="4" t="str">
        <f t="shared" ca="1" si="28"/>
        <v/>
      </c>
      <c r="O202" s="4" t="str">
        <f t="shared" ca="1" si="29"/>
        <v/>
      </c>
    </row>
    <row r="203" spans="1:15" ht="14.25">
      <c r="A203" t="s">
        <v>1199</v>
      </c>
      <c r="B203" t="s">
        <v>1200</v>
      </c>
      <c r="C203" t="s">
        <v>1201</v>
      </c>
      <c r="I203" s="4" t="str">
        <f t="shared" ca="1" si="37"/>
        <v/>
      </c>
      <c r="J203" s="4" t="str">
        <f t="shared" ca="1" si="24"/>
        <v/>
      </c>
      <c r="K203" s="4" t="str">
        <f t="shared" ca="1" si="25"/>
        <v/>
      </c>
      <c r="L203" s="4" t="str">
        <f t="shared" ca="1" si="26"/>
        <v/>
      </c>
      <c r="M203" s="4" t="str">
        <f t="shared" ca="1" si="27"/>
        <v/>
      </c>
      <c r="N203" s="4" t="str">
        <f t="shared" ca="1" si="28"/>
        <v/>
      </c>
      <c r="O203" s="4" t="str">
        <f t="shared" ca="1" si="29"/>
        <v/>
      </c>
    </row>
    <row r="204" spans="1:15" ht="14.25">
      <c r="A204" t="s">
        <v>856</v>
      </c>
      <c r="B204" t="s">
        <v>906</v>
      </c>
      <c r="C204" t="s">
        <v>960</v>
      </c>
      <c r="I204" s="4" t="str">
        <f t="shared" ca="1" si="37"/>
        <v/>
      </c>
      <c r="J204" s="4" t="str">
        <f t="shared" ca="1" si="24"/>
        <v/>
      </c>
      <c r="K204" s="4" t="str">
        <f t="shared" ca="1" si="25"/>
        <v/>
      </c>
      <c r="L204" s="4" t="str">
        <f t="shared" ca="1" si="26"/>
        <v/>
      </c>
      <c r="M204" s="4" t="str">
        <f t="shared" ca="1" si="27"/>
        <v/>
      </c>
      <c r="N204" s="4" t="str">
        <f t="shared" ca="1" si="28"/>
        <v/>
      </c>
      <c r="O204" s="4" t="str">
        <f t="shared" ca="1" si="29"/>
        <v/>
      </c>
    </row>
    <row r="205" spans="1:15" ht="14.25">
      <c r="A205" t="s">
        <v>857</v>
      </c>
      <c r="B205" t="s">
        <v>907</v>
      </c>
      <c r="C205" t="s">
        <v>961</v>
      </c>
      <c r="I205" s="4" t="str">
        <f t="shared" ca="1" si="37"/>
        <v/>
      </c>
      <c r="J205" s="4" t="str">
        <f t="shared" ca="1" si="24"/>
        <v/>
      </c>
      <c r="K205" s="4" t="str">
        <f t="shared" ca="1" si="25"/>
        <v/>
      </c>
      <c r="L205" s="4" t="str">
        <f t="shared" ca="1" si="26"/>
        <v/>
      </c>
      <c r="M205" s="4" t="str">
        <f t="shared" ca="1" si="27"/>
        <v/>
      </c>
      <c r="N205" s="4" t="str">
        <f t="shared" ca="1" si="28"/>
        <v/>
      </c>
      <c r="O205" s="4" t="str">
        <f t="shared" ca="1" si="29"/>
        <v/>
      </c>
    </row>
    <row r="206" spans="1:15" ht="14.25">
      <c r="A206" t="s">
        <v>858</v>
      </c>
      <c r="B206" t="s">
        <v>908</v>
      </c>
      <c r="C206" t="s">
        <v>962</v>
      </c>
      <c r="I206" s="4" t="str">
        <f t="shared" ca="1" si="37"/>
        <v/>
      </c>
      <c r="J206" s="4" t="str">
        <f t="shared" ca="1" si="24"/>
        <v/>
      </c>
      <c r="K206" s="4" t="str">
        <f t="shared" ca="1" si="25"/>
        <v/>
      </c>
      <c r="L206" s="4" t="str">
        <f t="shared" ca="1" si="26"/>
        <v/>
      </c>
      <c r="M206" s="4" t="str">
        <f t="shared" ca="1" si="27"/>
        <v/>
      </c>
      <c r="N206" s="4" t="str">
        <f t="shared" ca="1" si="28"/>
        <v/>
      </c>
      <c r="O206" s="4" t="str">
        <f t="shared" ca="1" si="29"/>
        <v/>
      </c>
    </row>
    <row r="207" spans="1:15" ht="14.25">
      <c r="A207" t="s">
        <v>859</v>
      </c>
      <c r="B207" t="s">
        <v>909</v>
      </c>
      <c r="C207" t="s">
        <v>963</v>
      </c>
      <c r="I207" s="4" t="str">
        <f t="shared" ca="1" si="37"/>
        <v/>
      </c>
      <c r="J207" s="4" t="str">
        <f t="shared" ca="1" si="24"/>
        <v/>
      </c>
      <c r="K207" s="4" t="str">
        <f t="shared" ca="1" si="25"/>
        <v/>
      </c>
      <c r="L207" s="4" t="str">
        <f t="shared" ca="1" si="26"/>
        <v/>
      </c>
      <c r="M207" s="4" t="str">
        <f t="shared" ca="1" si="27"/>
        <v/>
      </c>
      <c r="N207" s="4" t="str">
        <f t="shared" ca="1" si="28"/>
        <v/>
      </c>
      <c r="O207" s="4" t="str">
        <f t="shared" ca="1" si="29"/>
        <v/>
      </c>
    </row>
    <row r="208" spans="1:15" ht="14.25">
      <c r="A208" t="s">
        <v>860</v>
      </c>
      <c r="B208" t="s">
        <v>910</v>
      </c>
      <c r="C208" t="s">
        <v>964</v>
      </c>
      <c r="I208" s="4" t="str">
        <f t="shared" ca="1" si="37"/>
        <v/>
      </c>
      <c r="J208" s="4" t="str">
        <f t="shared" ca="1" si="24"/>
        <v/>
      </c>
      <c r="K208" s="4" t="str">
        <f t="shared" ca="1" si="25"/>
        <v/>
      </c>
      <c r="L208" s="4" t="str">
        <f t="shared" ca="1" si="26"/>
        <v/>
      </c>
      <c r="M208" s="4" t="str">
        <f t="shared" ca="1" si="27"/>
        <v/>
      </c>
      <c r="N208" s="4" t="str">
        <f t="shared" ca="1" si="28"/>
        <v/>
      </c>
      <c r="O208" s="4" t="str">
        <f t="shared" ca="1" si="29"/>
        <v/>
      </c>
    </row>
    <row r="209" spans="1:15" ht="14.25">
      <c r="A209" t="s">
        <v>861</v>
      </c>
      <c r="B209" t="s">
        <v>911</v>
      </c>
      <c r="C209" t="s">
        <v>965</v>
      </c>
      <c r="I209" s="4" t="str">
        <f t="shared" ca="1" si="37"/>
        <v/>
      </c>
      <c r="J209" s="4" t="str">
        <f t="shared" ca="1" si="24"/>
        <v/>
      </c>
      <c r="K209" s="4" t="str">
        <f t="shared" ca="1" si="25"/>
        <v/>
      </c>
      <c r="L209" s="4" t="str">
        <f t="shared" ca="1" si="26"/>
        <v/>
      </c>
      <c r="M209" s="4" t="str">
        <f t="shared" ca="1" si="27"/>
        <v/>
      </c>
      <c r="N209" s="4" t="str">
        <f t="shared" ca="1" si="28"/>
        <v/>
      </c>
      <c r="O209" s="4" t="str">
        <f t="shared" ca="1" si="29"/>
        <v/>
      </c>
    </row>
    <row r="210" spans="1:15" ht="14.25">
      <c r="A210" t="s">
        <v>862</v>
      </c>
      <c r="B210" t="s">
        <v>912</v>
      </c>
      <c r="C210" t="s">
        <v>966</v>
      </c>
      <c r="I210" s="4" t="str">
        <f t="shared" ca="1" si="37"/>
        <v/>
      </c>
      <c r="J210" s="4" t="str">
        <f t="shared" ca="1" si="24"/>
        <v/>
      </c>
      <c r="K210" s="4" t="str">
        <f t="shared" ca="1" si="25"/>
        <v/>
      </c>
      <c r="L210" s="4" t="str">
        <f t="shared" ca="1" si="26"/>
        <v/>
      </c>
      <c r="M210" s="4" t="str">
        <f t="shared" ca="1" si="27"/>
        <v/>
      </c>
      <c r="N210" s="4" t="str">
        <f t="shared" ca="1" si="28"/>
        <v/>
      </c>
      <c r="O210" s="4" t="str">
        <f t="shared" ca="1" si="29"/>
        <v/>
      </c>
    </row>
    <row r="211" spans="1:15" ht="14.25">
      <c r="A211" t="s">
        <v>863</v>
      </c>
      <c r="B211" t="s">
        <v>913</v>
      </c>
      <c r="C211" t="s">
        <v>967</v>
      </c>
      <c r="I211" s="4" t="str">
        <f t="shared" ca="1" si="37"/>
        <v/>
      </c>
      <c r="J211" s="4" t="str">
        <f t="shared" ca="1" si="24"/>
        <v/>
      </c>
      <c r="K211" s="4" t="str">
        <f t="shared" ca="1" si="25"/>
        <v/>
      </c>
      <c r="L211" s="4" t="str">
        <f t="shared" ca="1" si="26"/>
        <v/>
      </c>
      <c r="M211" s="4" t="str">
        <f t="shared" ca="1" si="27"/>
        <v/>
      </c>
      <c r="N211" s="4" t="str">
        <f t="shared" ca="1" si="28"/>
        <v/>
      </c>
      <c r="O211" s="4" t="str">
        <f t="shared" ca="1" si="29"/>
        <v/>
      </c>
    </row>
    <row r="212" spans="1:15" ht="14.25">
      <c r="A212" t="s">
        <v>864</v>
      </c>
      <c r="B212" t="s">
        <v>914</v>
      </c>
      <c r="C212" t="s">
        <v>968</v>
      </c>
      <c r="I212" s="4" t="str">
        <f t="shared" ca="1" si="37"/>
        <v/>
      </c>
      <c r="J212" s="4" t="str">
        <f t="shared" ca="1" si="24"/>
        <v/>
      </c>
      <c r="K212" s="4" t="str">
        <f t="shared" ca="1" si="25"/>
        <v/>
      </c>
      <c r="L212" s="4" t="str">
        <f t="shared" ca="1" si="26"/>
        <v/>
      </c>
      <c r="M212" s="4" t="str">
        <f t="shared" ca="1" si="27"/>
        <v/>
      </c>
      <c r="N212" s="4" t="str">
        <f t="shared" ca="1" si="28"/>
        <v/>
      </c>
      <c r="O212" s="4" t="str">
        <f t="shared" ca="1" si="29"/>
        <v/>
      </c>
    </row>
    <row r="213" spans="1:15" ht="14.25">
      <c r="A213" t="s">
        <v>865</v>
      </c>
      <c r="B213" t="s">
        <v>915</v>
      </c>
      <c r="C213" t="s">
        <v>969</v>
      </c>
      <c r="I213" s="4" t="str">
        <f t="shared" ca="1" si="37"/>
        <v/>
      </c>
      <c r="J213" s="4" t="str">
        <f t="shared" ca="1" si="24"/>
        <v/>
      </c>
      <c r="K213" s="4" t="str">
        <f t="shared" ca="1" si="25"/>
        <v/>
      </c>
      <c r="L213" s="4" t="str">
        <f t="shared" ca="1" si="26"/>
        <v/>
      </c>
      <c r="M213" s="4" t="str">
        <f t="shared" ca="1" si="27"/>
        <v/>
      </c>
      <c r="N213" s="4" t="str">
        <f t="shared" ca="1" si="28"/>
        <v/>
      </c>
      <c r="O213" s="4" t="str">
        <f t="shared" ca="1" si="29"/>
        <v/>
      </c>
    </row>
    <row r="214" spans="1:15" ht="14.25">
      <c r="A214" t="s">
        <v>866</v>
      </c>
      <c r="B214" t="s">
        <v>916</v>
      </c>
      <c r="C214" t="s">
        <v>970</v>
      </c>
      <c r="I214" s="4" t="str">
        <f t="shared" ca="1" si="37"/>
        <v/>
      </c>
      <c r="J214" s="4" t="str">
        <f t="shared" ca="1" si="24"/>
        <v/>
      </c>
      <c r="K214" s="4" t="str">
        <f t="shared" ca="1" si="25"/>
        <v/>
      </c>
      <c r="L214" s="4" t="str">
        <f t="shared" ca="1" si="26"/>
        <v/>
      </c>
      <c r="M214" s="4" t="str">
        <f t="shared" ca="1" si="27"/>
        <v/>
      </c>
      <c r="N214" s="4" t="str">
        <f t="shared" ca="1" si="28"/>
        <v/>
      </c>
      <c r="O214" s="4" t="str">
        <f t="shared" ca="1" si="29"/>
        <v/>
      </c>
    </row>
    <row r="215" spans="1:15" ht="14.25">
      <c r="A215" t="s">
        <v>867</v>
      </c>
      <c r="B215" t="s">
        <v>917</v>
      </c>
      <c r="C215" t="s">
        <v>971</v>
      </c>
      <c r="I215" s="4" t="str">
        <f t="shared" ca="1" si="37"/>
        <v/>
      </c>
      <c r="J215" s="4" t="str">
        <f t="shared" ca="1" si="24"/>
        <v/>
      </c>
      <c r="K215" s="4" t="str">
        <f t="shared" ca="1" si="25"/>
        <v/>
      </c>
      <c r="L215" s="4" t="str">
        <f t="shared" ca="1" si="26"/>
        <v/>
      </c>
      <c r="M215" s="4" t="str">
        <f t="shared" ca="1" si="27"/>
        <v/>
      </c>
      <c r="N215" s="4" t="str">
        <f t="shared" ca="1" si="28"/>
        <v/>
      </c>
      <c r="O215" s="4" t="str">
        <f t="shared" ca="1" si="29"/>
        <v/>
      </c>
    </row>
    <row r="216" spans="1:15" ht="14.25">
      <c r="A216" t="s">
        <v>868</v>
      </c>
      <c r="B216" t="s">
        <v>918</v>
      </c>
      <c r="C216" t="s">
        <v>972</v>
      </c>
      <c r="I216" s="4" t="str">
        <f t="shared" ca="1" si="37"/>
        <v/>
      </c>
      <c r="J216" s="4" t="str">
        <f t="shared" ca="1" si="24"/>
        <v/>
      </c>
      <c r="K216" s="4" t="str">
        <f t="shared" ca="1" si="25"/>
        <v/>
      </c>
      <c r="L216" s="4" t="str">
        <f t="shared" ca="1" si="26"/>
        <v/>
      </c>
      <c r="M216" s="4" t="str">
        <f t="shared" ca="1" si="27"/>
        <v/>
      </c>
      <c r="N216" s="4" t="str">
        <f t="shared" ca="1" si="28"/>
        <v/>
      </c>
      <c r="O216" s="4" t="str">
        <f t="shared" ca="1" si="29"/>
        <v/>
      </c>
    </row>
    <row r="217" spans="1:15" ht="14.25">
      <c r="A217" t="s">
        <v>810</v>
      </c>
      <c r="B217" t="s">
        <v>919</v>
      </c>
      <c r="C217" t="s">
        <v>973</v>
      </c>
      <c r="I217" s="4" t="str">
        <f t="shared" ca="1" si="37"/>
        <v/>
      </c>
      <c r="J217" s="4" t="str">
        <f t="shared" ca="1" si="24"/>
        <v/>
      </c>
      <c r="K217" s="4" t="str">
        <f t="shared" ca="1" si="25"/>
        <v/>
      </c>
      <c r="L217" s="4" t="str">
        <f t="shared" ca="1" si="26"/>
        <v/>
      </c>
      <c r="M217" s="4" t="str">
        <f t="shared" ca="1" si="27"/>
        <v/>
      </c>
      <c r="N217" s="4" t="str">
        <f t="shared" ca="1" si="28"/>
        <v/>
      </c>
      <c r="O217" s="4" t="str">
        <f t="shared" ca="1" si="29"/>
        <v/>
      </c>
    </row>
    <row r="218" spans="1:15" ht="14.25">
      <c r="A218" s="20" t="s">
        <v>1138</v>
      </c>
      <c r="B218" t="s">
        <v>920</v>
      </c>
      <c r="C218" t="s">
        <v>974</v>
      </c>
      <c r="I218" s="4" t="str">
        <f t="shared" ca="1" si="37"/>
        <v/>
      </c>
      <c r="J218" s="4" t="str">
        <f t="shared" ca="1" si="24"/>
        <v/>
      </c>
      <c r="K218" s="4" t="str">
        <f t="shared" ca="1" si="25"/>
        <v/>
      </c>
      <c r="L218" s="4" t="str">
        <f t="shared" ca="1" si="26"/>
        <v/>
      </c>
      <c r="M218" s="4" t="str">
        <f t="shared" ca="1" si="27"/>
        <v/>
      </c>
      <c r="N218" s="4" t="str">
        <f t="shared" ca="1" si="28"/>
        <v/>
      </c>
      <c r="O218" s="4" t="str">
        <f t="shared" ca="1" si="29"/>
        <v/>
      </c>
    </row>
    <row r="219" spans="1:15" ht="14.25">
      <c r="A219" t="s">
        <v>1215</v>
      </c>
      <c r="B219" t="s">
        <v>1216</v>
      </c>
      <c r="C219" t="s">
        <v>1217</v>
      </c>
      <c r="I219" s="4" t="str">
        <f t="shared" ca="1" si="37"/>
        <v/>
      </c>
      <c r="J219" s="4" t="str">
        <f t="shared" ca="1" si="24"/>
        <v/>
      </c>
      <c r="K219" s="4" t="str">
        <f t="shared" ca="1" si="25"/>
        <v/>
      </c>
      <c r="L219" s="4" t="str">
        <f t="shared" ca="1" si="26"/>
        <v/>
      </c>
      <c r="M219" s="4" t="str">
        <f t="shared" ca="1" si="27"/>
        <v/>
      </c>
      <c r="N219" s="4" t="str">
        <f t="shared" ca="1" si="28"/>
        <v/>
      </c>
      <c r="O219" s="4" t="str">
        <f t="shared" ca="1" si="29"/>
        <v/>
      </c>
    </row>
    <row r="220" spans="1:15" ht="14.25">
      <c r="A220" t="s">
        <v>869</v>
      </c>
      <c r="B220" t="s">
        <v>921</v>
      </c>
      <c r="C220" t="s">
        <v>975</v>
      </c>
      <c r="I220" s="4" t="str">
        <f t="shared" ca="1" si="37"/>
        <v/>
      </c>
      <c r="J220" s="4" t="str">
        <f t="shared" ca="1" si="24"/>
        <v/>
      </c>
      <c r="K220" s="4" t="str">
        <f t="shared" ca="1" si="25"/>
        <v/>
      </c>
      <c r="L220" s="4" t="str">
        <f t="shared" ca="1" si="26"/>
        <v/>
      </c>
      <c r="M220" s="4" t="str">
        <f t="shared" ca="1" si="27"/>
        <v/>
      </c>
      <c r="N220" s="4" t="str">
        <f t="shared" ca="1" si="28"/>
        <v/>
      </c>
      <c r="O220" s="4" t="str">
        <f t="shared" ca="1" si="29"/>
        <v/>
      </c>
    </row>
    <row r="221" spans="1:15" ht="14.25">
      <c r="A221" t="s">
        <v>870</v>
      </c>
      <c r="B221" t="s">
        <v>922</v>
      </c>
      <c r="C221" t="s">
        <v>994</v>
      </c>
      <c r="I221" s="4" t="str">
        <f t="shared" ca="1" si="37"/>
        <v/>
      </c>
      <c r="J221" s="4" t="str">
        <f t="shared" ca="1" si="24"/>
        <v/>
      </c>
      <c r="K221" s="4" t="str">
        <f t="shared" ca="1" si="25"/>
        <v/>
      </c>
      <c r="L221" s="4" t="str">
        <f t="shared" ca="1" si="26"/>
        <v/>
      </c>
      <c r="M221" s="4" t="str">
        <f t="shared" ca="1" si="27"/>
        <v/>
      </c>
      <c r="N221" s="4" t="str">
        <f t="shared" ca="1" si="28"/>
        <v/>
      </c>
      <c r="O221" s="4" t="str">
        <f t="shared" ca="1" si="29"/>
        <v/>
      </c>
    </row>
    <row r="222" spans="1:15" ht="14.25">
      <c r="A222" t="s">
        <v>871</v>
      </c>
      <c r="B222" t="s">
        <v>923</v>
      </c>
      <c r="C222" t="s">
        <v>976</v>
      </c>
      <c r="I222" s="4" t="str">
        <f t="shared" ca="1" si="37"/>
        <v/>
      </c>
      <c r="J222" s="4" t="str">
        <f t="shared" ca="1" si="24"/>
        <v/>
      </c>
      <c r="K222" s="4" t="str">
        <f t="shared" ca="1" si="25"/>
        <v/>
      </c>
      <c r="L222" s="4" t="str">
        <f t="shared" ca="1" si="26"/>
        <v/>
      </c>
      <c r="M222" s="4" t="str">
        <f t="shared" ca="1" si="27"/>
        <v/>
      </c>
      <c r="N222" s="4" t="str">
        <f t="shared" ca="1" si="28"/>
        <v/>
      </c>
      <c r="O222" s="4" t="str">
        <f t="shared" ca="1" si="29"/>
        <v/>
      </c>
    </row>
    <row r="223" spans="1:15" ht="14.25">
      <c r="A223" t="s">
        <v>872</v>
      </c>
      <c r="B223" t="s">
        <v>924</v>
      </c>
      <c r="C223" t="s">
        <v>977</v>
      </c>
      <c r="I223" s="4" t="str">
        <f t="shared" ca="1" si="37"/>
        <v/>
      </c>
      <c r="J223" s="4" t="str">
        <f t="shared" ca="1" si="24"/>
        <v/>
      </c>
      <c r="K223" s="4" t="str">
        <f t="shared" ca="1" si="25"/>
        <v/>
      </c>
      <c r="L223" s="4" t="str">
        <f t="shared" ca="1" si="26"/>
        <v/>
      </c>
      <c r="M223" s="4" t="str">
        <f t="shared" ca="1" si="27"/>
        <v/>
      </c>
      <c r="N223" s="4" t="str">
        <f t="shared" ca="1" si="28"/>
        <v/>
      </c>
      <c r="O223" s="4" t="str">
        <f t="shared" ca="1" si="29"/>
        <v/>
      </c>
    </row>
    <row r="224" spans="1:15" ht="14.25">
      <c r="A224" t="s">
        <v>873</v>
      </c>
      <c r="B224" t="s">
        <v>925</v>
      </c>
      <c r="C224" t="s">
        <v>978</v>
      </c>
      <c r="I224" s="4" t="str">
        <f t="shared" ca="1" si="37"/>
        <v/>
      </c>
      <c r="J224" s="4" t="str">
        <f t="shared" ca="1" si="24"/>
        <v/>
      </c>
      <c r="K224" s="4" t="str">
        <f t="shared" ca="1" si="25"/>
        <v/>
      </c>
      <c r="L224" s="4" t="str">
        <f t="shared" ca="1" si="26"/>
        <v/>
      </c>
      <c r="M224" s="4" t="str">
        <f t="shared" ca="1" si="27"/>
        <v/>
      </c>
      <c r="N224" s="4" t="str">
        <f t="shared" ca="1" si="28"/>
        <v/>
      </c>
      <c r="O224" s="4" t="str">
        <f t="shared" ca="1" si="29"/>
        <v/>
      </c>
    </row>
    <row r="225" spans="1:15" ht="14.25">
      <c r="A225" t="s">
        <v>874</v>
      </c>
      <c r="B225" t="s">
        <v>926</v>
      </c>
      <c r="C225" t="s">
        <v>979</v>
      </c>
      <c r="I225" s="4" t="str">
        <f t="shared" ca="1" si="37"/>
        <v/>
      </c>
      <c r="J225" s="4" t="str">
        <f t="shared" ca="1" si="24"/>
        <v/>
      </c>
      <c r="K225" s="4" t="str">
        <f t="shared" ca="1" si="25"/>
        <v/>
      </c>
      <c r="L225" s="4" t="str">
        <f t="shared" ca="1" si="26"/>
        <v/>
      </c>
      <c r="M225" s="4" t="str">
        <f t="shared" ca="1" si="27"/>
        <v/>
      </c>
      <c r="N225" s="4" t="str">
        <f t="shared" ca="1" si="28"/>
        <v/>
      </c>
      <c r="O225" s="4" t="str">
        <f t="shared" ca="1" si="29"/>
        <v/>
      </c>
    </row>
    <row r="226" spans="1:15" ht="14.25">
      <c r="A226" t="s">
        <v>875</v>
      </c>
      <c r="B226" t="s">
        <v>927</v>
      </c>
      <c r="C226" t="s">
        <v>980</v>
      </c>
      <c r="I226" s="4" t="str">
        <f t="shared" ca="1" si="37"/>
        <v/>
      </c>
      <c r="J226" s="4" t="str">
        <f t="shared" ca="1" si="24"/>
        <v/>
      </c>
      <c r="K226" s="4" t="str">
        <f t="shared" ca="1" si="25"/>
        <v/>
      </c>
      <c r="L226" s="4" t="str">
        <f t="shared" ca="1" si="26"/>
        <v/>
      </c>
      <c r="M226" s="4" t="str">
        <f t="shared" ca="1" si="27"/>
        <v/>
      </c>
      <c r="N226" s="4" t="str">
        <f t="shared" ca="1" si="28"/>
        <v/>
      </c>
      <c r="O226" s="4" t="str">
        <f t="shared" ca="1" si="29"/>
        <v/>
      </c>
    </row>
    <row r="227" spans="1:15" ht="14.25">
      <c r="A227" t="s">
        <v>876</v>
      </c>
      <c r="B227" t="s">
        <v>928</v>
      </c>
      <c r="C227" t="s">
        <v>981</v>
      </c>
      <c r="I227" s="4">
        <f t="shared" ca="1" si="37"/>
        <v>14227</v>
      </c>
      <c r="J227" s="4">
        <f t="shared" ca="1" si="24"/>
        <v>14</v>
      </c>
      <c r="K227" s="4" t="str">
        <f t="shared" ca="1" si="25"/>
        <v/>
      </c>
      <c r="L227" s="4">
        <f t="shared" ca="1" si="26"/>
        <v>17</v>
      </c>
      <c r="M227" s="4" t="str">
        <f t="shared" ca="1" si="27"/>
        <v/>
      </c>
      <c r="N227" s="4" t="str">
        <f t="shared" ca="1" si="28"/>
        <v/>
      </c>
      <c r="O227" s="4" t="str">
        <f t="shared" ca="1" si="29"/>
        <v/>
      </c>
    </row>
    <row r="228" spans="1:15" ht="14.25">
      <c r="A228" t="s">
        <v>877</v>
      </c>
      <c r="B228" t="s">
        <v>929</v>
      </c>
      <c r="C228" t="s">
        <v>982</v>
      </c>
      <c r="I228" s="4" t="str">
        <f t="shared" ca="1" si="37"/>
        <v/>
      </c>
      <c r="J228" s="4" t="str">
        <f t="shared" ca="1" si="24"/>
        <v/>
      </c>
      <c r="K228" s="4" t="str">
        <f t="shared" ca="1" si="25"/>
        <v/>
      </c>
      <c r="L228" s="4" t="str">
        <f t="shared" ca="1" si="26"/>
        <v/>
      </c>
      <c r="M228" s="4" t="str">
        <f t="shared" ca="1" si="27"/>
        <v/>
      </c>
      <c r="N228" s="4" t="str">
        <f t="shared" ca="1" si="28"/>
        <v/>
      </c>
      <c r="O228" s="4" t="str">
        <f t="shared" ca="1" si="29"/>
        <v/>
      </c>
    </row>
    <row r="229" spans="1:15" ht="14.25">
      <c r="A229" t="s">
        <v>1219</v>
      </c>
      <c r="B229" t="s">
        <v>1221</v>
      </c>
      <c r="C229" t="s">
        <v>1222</v>
      </c>
      <c r="F229" t="s">
        <v>1220</v>
      </c>
      <c r="I229" s="4" t="str">
        <f t="shared" ca="1" si="37"/>
        <v/>
      </c>
      <c r="J229" s="4" t="str">
        <f t="shared" ca="1" si="24"/>
        <v/>
      </c>
      <c r="K229" s="4" t="str">
        <f t="shared" ca="1" si="25"/>
        <v/>
      </c>
      <c r="L229" s="4" t="str">
        <f t="shared" ca="1" si="26"/>
        <v/>
      </c>
      <c r="M229" s="4" t="str">
        <f t="shared" ca="1" si="27"/>
        <v/>
      </c>
      <c r="N229" s="4" t="str">
        <f t="shared" ca="1" si="28"/>
        <v/>
      </c>
      <c r="O229" s="4" t="str">
        <f t="shared" ca="1" si="29"/>
        <v/>
      </c>
    </row>
  </sheetData>
  <autoFilter ref="A2:G2" xr:uid="{00000000-0009-0000-0000-000003000000}"/>
  <phoneticPr fontId="2"/>
  <conditionalFormatting sqref="A218">
    <cfRule type="expression" dxfId="5" priority="1">
      <formula>AND($A218="",$B218&lt;&gt;"")</formula>
    </cfRule>
    <cfRule type="expression" dxfId="4" priority="2">
      <formula>_xlfn.ISFORMULA(A218)</formula>
    </cfRule>
    <cfRule type="expression" dxfId="3" priority="3">
      <formula>A218=""</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M253"/>
  <sheetViews>
    <sheetView workbookViewId="0">
      <pane xSplit="5" ySplit="6" topLeftCell="F7" activePane="bottomRight" state="frozen"/>
      <selection pane="topRight" activeCell="F1" sqref="F1"/>
      <selection pane="bottomLeft" activeCell="A7" sqref="A7"/>
      <selection pane="bottomRight"/>
    </sheetView>
  </sheetViews>
  <sheetFormatPr defaultColWidth="4.625" defaultRowHeight="13.5"/>
  <cols>
    <col min="1" max="1" width="23.875" style="20" customWidth="1"/>
    <col min="2" max="2" width="28.5" style="20" customWidth="1"/>
    <col min="3" max="3" width="3.75" style="20" customWidth="1"/>
    <col min="4" max="5" width="5.75" style="20" customWidth="1"/>
    <col min="6" max="19" width="3.75" style="20" customWidth="1"/>
    <col min="20" max="20" width="3.625" style="20" customWidth="1"/>
    <col min="21" max="34" width="3.75" style="20" customWidth="1"/>
    <col min="35" max="35" width="4.875" style="20" customWidth="1"/>
    <col min="36" max="72" width="3.75" style="20" customWidth="1"/>
    <col min="73" max="73" width="5.25" style="20" customWidth="1"/>
    <col min="74" max="87" width="3.75" style="20" customWidth="1"/>
    <col min="88" max="88" width="5.875" style="20" customWidth="1"/>
    <col min="89" max="89" width="6.75" style="20" customWidth="1"/>
    <col min="90" max="90" width="6.125" style="20" customWidth="1"/>
    <col min="91" max="91" width="28.75" style="20" customWidth="1"/>
    <col min="92" max="16384" width="4.625" style="20"/>
  </cols>
  <sheetData>
    <row r="1" spans="1:91" s="42" customFormat="1" ht="69.599999999999994" customHeight="1">
      <c r="A1" s="42" t="s">
        <v>618</v>
      </c>
      <c r="B1" s="42" t="s">
        <v>0</v>
      </c>
      <c r="C1" s="42" t="s">
        <v>1</v>
      </c>
      <c r="D1" s="42" t="s">
        <v>2</v>
      </c>
      <c r="E1" s="42" t="s">
        <v>3</v>
      </c>
      <c r="F1" s="42" t="s">
        <v>4</v>
      </c>
      <c r="G1" s="42" t="s">
        <v>5</v>
      </c>
      <c r="H1" s="42" t="s">
        <v>345</v>
      </c>
      <c r="I1" s="42" t="s">
        <v>346</v>
      </c>
      <c r="J1" s="42" t="s">
        <v>6</v>
      </c>
      <c r="K1" s="42" t="s">
        <v>7</v>
      </c>
      <c r="L1" s="42" t="s">
        <v>8</v>
      </c>
      <c r="M1" s="42" t="s">
        <v>1208</v>
      </c>
      <c r="N1" s="42" t="s">
        <v>1209</v>
      </c>
      <c r="O1" s="42" t="s">
        <v>1210</v>
      </c>
      <c r="P1" s="42" t="s">
        <v>1211</v>
      </c>
      <c r="Q1" s="42" t="s">
        <v>1212</v>
      </c>
      <c r="R1" s="42" t="s">
        <v>1040</v>
      </c>
      <c r="S1" s="42" t="s">
        <v>9</v>
      </c>
      <c r="T1" s="42" t="s">
        <v>10</v>
      </c>
      <c r="V1" s="42" t="s">
        <v>336</v>
      </c>
      <c r="W1" s="42" t="s">
        <v>11</v>
      </c>
      <c r="X1" s="42" t="s">
        <v>12</v>
      </c>
      <c r="Y1" s="42" t="s">
        <v>13</v>
      </c>
      <c r="Z1" s="42" t="s">
        <v>14</v>
      </c>
      <c r="AA1" s="42" t="s">
        <v>15</v>
      </c>
      <c r="AB1" s="42" t="s">
        <v>16</v>
      </c>
      <c r="AC1" s="42" t="s">
        <v>17</v>
      </c>
      <c r="AD1" s="42" t="s">
        <v>18</v>
      </c>
      <c r="AE1" s="42" t="s">
        <v>19</v>
      </c>
      <c r="AF1" s="42" t="s">
        <v>612</v>
      </c>
      <c r="AG1" s="42" t="s">
        <v>613</v>
      </c>
      <c r="AH1" s="42" t="s">
        <v>614</v>
      </c>
      <c r="AI1" s="42" t="s">
        <v>20</v>
      </c>
      <c r="AJ1" s="42" t="s">
        <v>1231</v>
      </c>
      <c r="AK1" s="42" t="s">
        <v>1232</v>
      </c>
      <c r="AM1" s="42" t="s">
        <v>21</v>
      </c>
      <c r="AN1" s="42" t="s">
        <v>22</v>
      </c>
      <c r="AO1" s="42" t="s">
        <v>23</v>
      </c>
      <c r="AP1" s="42" t="s">
        <v>24</v>
      </c>
      <c r="AQ1" s="42" t="s">
        <v>25</v>
      </c>
      <c r="AR1" s="42" t="s">
        <v>26</v>
      </c>
      <c r="AS1" s="42" t="s">
        <v>27</v>
      </c>
      <c r="AT1" s="42" t="s">
        <v>28</v>
      </c>
      <c r="AU1" s="42" t="s">
        <v>29</v>
      </c>
      <c r="AV1" s="42" t="s">
        <v>30</v>
      </c>
      <c r="AW1" s="42" t="s">
        <v>31</v>
      </c>
      <c r="AX1" s="42" t="s">
        <v>32</v>
      </c>
      <c r="AY1" s="42" t="s">
        <v>33</v>
      </c>
      <c r="AZ1" s="42" t="s">
        <v>34</v>
      </c>
      <c r="BA1" s="42" t="s">
        <v>35</v>
      </c>
      <c r="BB1" s="42" t="s">
        <v>36</v>
      </c>
      <c r="BC1" s="42" t="s">
        <v>37</v>
      </c>
      <c r="BD1" s="42" t="s">
        <v>38</v>
      </c>
      <c r="BE1" s="42" t="s">
        <v>39</v>
      </c>
      <c r="BF1" s="42" t="s">
        <v>40</v>
      </c>
      <c r="BG1" s="42" t="s">
        <v>41</v>
      </c>
      <c r="BH1" s="42" t="s">
        <v>42</v>
      </c>
      <c r="BI1" s="42" t="s">
        <v>43</v>
      </c>
      <c r="BL1" s="42" t="s">
        <v>44</v>
      </c>
      <c r="BM1" s="42" t="s">
        <v>45</v>
      </c>
      <c r="BN1" s="42" t="s">
        <v>46</v>
      </c>
      <c r="BO1" s="42" t="s">
        <v>47</v>
      </c>
      <c r="BP1" s="42" t="s">
        <v>48</v>
      </c>
      <c r="BQ1" s="42" t="s">
        <v>49</v>
      </c>
      <c r="BR1" s="42" t="s">
        <v>50</v>
      </c>
      <c r="BS1" s="42" t="s">
        <v>51</v>
      </c>
      <c r="BT1" s="42" t="s">
        <v>52</v>
      </c>
      <c r="BU1" s="42" t="s">
        <v>53</v>
      </c>
      <c r="BV1" s="42" t="s">
        <v>54</v>
      </c>
      <c r="BW1" s="42" t="s">
        <v>55</v>
      </c>
      <c r="BX1" s="42" t="s">
        <v>56</v>
      </c>
      <c r="BZ1" s="42" t="s">
        <v>57</v>
      </c>
      <c r="CA1" s="42" t="s">
        <v>58</v>
      </c>
      <c r="CB1" s="42" t="s">
        <v>59</v>
      </c>
      <c r="CC1" s="42" t="s">
        <v>60</v>
      </c>
      <c r="CD1" s="42" t="s">
        <v>995</v>
      </c>
      <c r="CF1" s="42" t="s">
        <v>61</v>
      </c>
      <c r="CG1" s="42" t="s">
        <v>62</v>
      </c>
      <c r="CH1" s="42" t="s">
        <v>63</v>
      </c>
      <c r="CI1" s="42" t="s">
        <v>1029</v>
      </c>
      <c r="CJ1" s="42" t="s">
        <v>1026</v>
      </c>
      <c r="CK1" s="42" t="s">
        <v>1048</v>
      </c>
      <c r="CL1" s="42" t="s">
        <v>1044</v>
      </c>
      <c r="CM1" s="42" t="s">
        <v>64</v>
      </c>
    </row>
    <row r="2" spans="1:91">
      <c r="A2" s="20" t="s">
        <v>1033</v>
      </c>
      <c r="B2" s="20" t="s">
        <v>65</v>
      </c>
      <c r="E2" s="20" t="s">
        <v>66</v>
      </c>
      <c r="F2" s="20" t="s">
        <v>67</v>
      </c>
      <c r="G2" s="20" t="s">
        <v>67</v>
      </c>
      <c r="H2" s="20" t="s">
        <v>67</v>
      </c>
      <c r="I2" s="20" t="s">
        <v>67</v>
      </c>
      <c r="J2" s="20" t="s">
        <v>67</v>
      </c>
      <c r="K2" s="20" t="s">
        <v>67</v>
      </c>
      <c r="L2" s="20" t="s">
        <v>67</v>
      </c>
      <c r="M2" s="20" t="s">
        <v>67</v>
      </c>
      <c r="N2" s="20" t="s">
        <v>67</v>
      </c>
      <c r="O2" s="20" t="s">
        <v>67</v>
      </c>
      <c r="P2" s="20" t="s">
        <v>67</v>
      </c>
      <c r="Q2" s="20" t="s">
        <v>67</v>
      </c>
      <c r="R2" s="20" t="s">
        <v>1041</v>
      </c>
      <c r="S2" s="20" t="s">
        <v>68</v>
      </c>
      <c r="T2" s="20" t="s">
        <v>74</v>
      </c>
      <c r="W2" s="20" t="s">
        <v>69</v>
      </c>
      <c r="X2" s="20" t="s">
        <v>69</v>
      </c>
      <c r="Y2" s="20" t="s">
        <v>69</v>
      </c>
      <c r="Z2" s="20" t="s">
        <v>69</v>
      </c>
      <c r="AA2" s="20" t="s">
        <v>69</v>
      </c>
      <c r="AB2" s="20" t="s">
        <v>69</v>
      </c>
      <c r="AC2" s="20" t="s">
        <v>69</v>
      </c>
      <c r="AE2" s="20" t="s">
        <v>69</v>
      </c>
      <c r="AF2" s="20" t="s">
        <v>70</v>
      </c>
      <c r="AG2" s="20" t="s">
        <v>70</v>
      </c>
      <c r="AH2" s="20" t="s">
        <v>70</v>
      </c>
      <c r="AI2" s="20" t="s">
        <v>70</v>
      </c>
      <c r="AJ2" s="20" t="s">
        <v>70</v>
      </c>
      <c r="AM2" s="20" t="s">
        <v>69</v>
      </c>
      <c r="AN2" s="20" t="s">
        <v>69</v>
      </c>
      <c r="AO2" s="20" t="s">
        <v>69</v>
      </c>
      <c r="AP2" s="20" t="s">
        <v>69</v>
      </c>
      <c r="AQ2" s="20" t="s">
        <v>69</v>
      </c>
      <c r="AR2" s="20" t="s">
        <v>69</v>
      </c>
      <c r="AS2" s="20" t="s">
        <v>69</v>
      </c>
      <c r="AT2" s="20" t="s">
        <v>69</v>
      </c>
      <c r="AU2" s="20" t="s">
        <v>69</v>
      </c>
      <c r="AV2" s="20" t="s">
        <v>69</v>
      </c>
      <c r="AW2" s="20" t="s">
        <v>69</v>
      </c>
      <c r="AX2" s="20" t="s">
        <v>69</v>
      </c>
      <c r="AY2" s="20" t="s">
        <v>69</v>
      </c>
      <c r="AZ2" s="20" t="s">
        <v>69</v>
      </c>
      <c r="BA2" s="20" t="s">
        <v>69</v>
      </c>
      <c r="BB2" s="20" t="s">
        <v>69</v>
      </c>
      <c r="BC2" s="20" t="s">
        <v>69</v>
      </c>
      <c r="BD2" s="20" t="s">
        <v>69</v>
      </c>
      <c r="BE2" s="20" t="s">
        <v>69</v>
      </c>
      <c r="BF2" s="20" t="s">
        <v>69</v>
      </c>
      <c r="BH2" s="20" t="s">
        <v>69</v>
      </c>
      <c r="BI2" s="20" t="s">
        <v>71</v>
      </c>
      <c r="BL2" s="20" t="s">
        <v>74</v>
      </c>
      <c r="BM2" s="20" t="s">
        <v>74</v>
      </c>
      <c r="BN2" s="20" t="s">
        <v>74</v>
      </c>
      <c r="BO2" s="20" t="s">
        <v>73</v>
      </c>
      <c r="BP2" s="20" t="s">
        <v>74</v>
      </c>
      <c r="BQ2" s="20" t="s">
        <v>74</v>
      </c>
      <c r="BR2" s="20" t="s">
        <v>73</v>
      </c>
      <c r="BS2" s="20" t="s">
        <v>73</v>
      </c>
      <c r="BT2" s="20" t="s">
        <v>74</v>
      </c>
      <c r="BU2" s="20" t="s">
        <v>72</v>
      </c>
      <c r="BV2" s="20" t="s">
        <v>73</v>
      </c>
      <c r="BW2" s="20" t="s">
        <v>74</v>
      </c>
      <c r="BX2" s="20" t="s">
        <v>74</v>
      </c>
      <c r="BZ2" s="20" t="s">
        <v>1010</v>
      </c>
      <c r="CA2" s="20" t="s">
        <v>1010</v>
      </c>
      <c r="CB2" s="20" t="s">
        <v>1010</v>
      </c>
      <c r="CC2" s="20" t="s">
        <v>826</v>
      </c>
      <c r="CD2" s="20" t="s">
        <v>996</v>
      </c>
      <c r="CF2" s="20" t="s">
        <v>69</v>
      </c>
      <c r="CG2" s="20" t="s">
        <v>69</v>
      </c>
      <c r="CJ2" s="20" t="s">
        <v>1027</v>
      </c>
      <c r="CK2" s="20" t="s">
        <v>1042</v>
      </c>
      <c r="CL2" s="20" t="s">
        <v>1042</v>
      </c>
    </row>
    <row r="3" spans="1:91">
      <c r="A3" s="20" t="s">
        <v>1002</v>
      </c>
      <c r="F3" s="20">
        <v>22.99</v>
      </c>
      <c r="G3" s="20">
        <v>39.1</v>
      </c>
      <c r="H3" s="20">
        <v>40.08</v>
      </c>
      <c r="I3" s="20">
        <v>24.31</v>
      </c>
      <c r="J3" s="20">
        <v>35.450000000000003</v>
      </c>
      <c r="K3" s="20">
        <v>96.07</v>
      </c>
      <c r="L3" s="20">
        <v>61.016800000000003</v>
      </c>
      <c r="M3" s="20">
        <v>90.08</v>
      </c>
      <c r="N3" s="20">
        <v>118.09</v>
      </c>
      <c r="O3" s="20">
        <v>60.05</v>
      </c>
      <c r="P3" s="20">
        <v>196.16</v>
      </c>
      <c r="Q3" s="20">
        <v>192.124</v>
      </c>
      <c r="R3" s="20">
        <v>18.03</v>
      </c>
      <c r="S3" s="20">
        <v>30.97</v>
      </c>
      <c r="T3" s="20">
        <v>65.39</v>
      </c>
      <c r="W3">
        <v>180.15600000000001</v>
      </c>
      <c r="X3" s="20">
        <v>342.3</v>
      </c>
      <c r="Y3" s="20">
        <v>152.15</v>
      </c>
      <c r="Z3" s="20">
        <v>182.17</v>
      </c>
      <c r="AA3" s="20">
        <v>180.16</v>
      </c>
      <c r="AM3" s="20">
        <v>131.16999999999999</v>
      </c>
      <c r="AN3" s="20">
        <v>131.16999999999999</v>
      </c>
      <c r="AO3" s="20">
        <v>117.15</v>
      </c>
      <c r="AP3" s="20">
        <v>146.19</v>
      </c>
      <c r="AQ3" s="20">
        <v>119.12</v>
      </c>
      <c r="AR3" s="20">
        <v>204.23</v>
      </c>
      <c r="AS3" s="20">
        <v>149.21</v>
      </c>
      <c r="AT3" s="20">
        <v>165.19</v>
      </c>
      <c r="AU3" s="20">
        <v>121.16</v>
      </c>
      <c r="AV3" s="20">
        <v>240.3</v>
      </c>
      <c r="AW3" s="20">
        <v>181.19</v>
      </c>
      <c r="AX3" s="20">
        <v>155.15</v>
      </c>
      <c r="AY3" s="20">
        <v>174.2</v>
      </c>
      <c r="AZ3" s="20">
        <v>89.09</v>
      </c>
      <c r="BA3" s="20">
        <v>115.13</v>
      </c>
      <c r="BB3" s="20">
        <v>105.09</v>
      </c>
      <c r="BC3" s="20">
        <v>75.069999999999993</v>
      </c>
      <c r="BD3" s="20">
        <v>133.1</v>
      </c>
      <c r="BE3" s="20">
        <v>147.13</v>
      </c>
      <c r="BF3" s="20">
        <v>125.15</v>
      </c>
      <c r="BZ3" s="20">
        <v>55.85</v>
      </c>
      <c r="CA3" s="20">
        <v>54.94</v>
      </c>
      <c r="CB3" s="20">
        <v>63.55</v>
      </c>
      <c r="CC3" s="20">
        <v>126.9</v>
      </c>
      <c r="CD3" s="20">
        <v>78.959999999999994</v>
      </c>
      <c r="CF3" s="20">
        <v>40000</v>
      </c>
      <c r="CG3" s="20">
        <v>70000</v>
      </c>
    </row>
    <row r="4" spans="1:91">
      <c r="A4" s="20" t="s">
        <v>997</v>
      </c>
      <c r="F4" s="20">
        <v>1</v>
      </c>
      <c r="G4" s="20">
        <v>1</v>
      </c>
      <c r="H4" s="20">
        <v>2</v>
      </c>
      <c r="I4" s="20">
        <v>2</v>
      </c>
      <c r="J4" s="20">
        <v>1</v>
      </c>
      <c r="AM4" s="20">
        <v>1</v>
      </c>
      <c r="AN4" s="20">
        <v>1</v>
      </c>
      <c r="AO4" s="20">
        <v>1</v>
      </c>
      <c r="AP4" s="20">
        <v>2</v>
      </c>
      <c r="AQ4" s="20">
        <v>1</v>
      </c>
      <c r="AR4" s="20">
        <v>2</v>
      </c>
      <c r="AS4" s="20">
        <v>1</v>
      </c>
      <c r="AT4" s="20">
        <v>1</v>
      </c>
      <c r="AU4" s="20">
        <v>1</v>
      </c>
      <c r="AV4" s="20">
        <v>2</v>
      </c>
      <c r="AW4" s="20">
        <v>1</v>
      </c>
      <c r="AX4" s="20">
        <v>3</v>
      </c>
      <c r="AY4" s="20">
        <v>4</v>
      </c>
      <c r="AZ4" s="20">
        <v>1</v>
      </c>
      <c r="BA4" s="20">
        <v>1</v>
      </c>
      <c r="BB4" s="20">
        <v>1</v>
      </c>
      <c r="BC4" s="20">
        <v>1</v>
      </c>
      <c r="BD4" s="20">
        <v>1</v>
      </c>
      <c r="BE4" s="20">
        <v>1</v>
      </c>
    </row>
    <row r="5" spans="1:91">
      <c r="A5" s="20" t="s">
        <v>621</v>
      </c>
      <c r="AM5" s="20" t="s">
        <v>619</v>
      </c>
      <c r="AN5" s="20" t="s">
        <v>619</v>
      </c>
      <c r="AO5" s="20" t="s">
        <v>619</v>
      </c>
      <c r="AP5" s="20" t="s">
        <v>619</v>
      </c>
      <c r="AQ5" s="20" t="s">
        <v>619</v>
      </c>
      <c r="AR5" s="20" t="s">
        <v>619</v>
      </c>
      <c r="AS5" s="20" t="s">
        <v>619</v>
      </c>
      <c r="AT5" s="20" t="s">
        <v>619</v>
      </c>
      <c r="AX5" s="20" t="s">
        <v>619</v>
      </c>
    </row>
    <row r="6" spans="1:91">
      <c r="A6" s="20" t="s">
        <v>622</v>
      </c>
      <c r="AM6" s="20" t="s">
        <v>620</v>
      </c>
      <c r="AN6" s="20" t="s">
        <v>620</v>
      </c>
      <c r="AO6" s="20" t="s">
        <v>620</v>
      </c>
    </row>
    <row r="7" spans="1:91">
      <c r="B7" s="20" t="s">
        <v>558</v>
      </c>
    </row>
    <row r="8" spans="1:91">
      <c r="A8" s="20" t="s">
        <v>558</v>
      </c>
      <c r="B8" s="20" t="s">
        <v>75</v>
      </c>
      <c r="C8" s="20" t="s">
        <v>76</v>
      </c>
      <c r="D8" s="20">
        <v>1000</v>
      </c>
      <c r="E8" s="20">
        <v>1000</v>
      </c>
      <c r="V8" s="20" t="s">
        <v>11</v>
      </c>
      <c r="W8" s="20">
        <f>IF($V8=W$1,$AB8,0)</f>
        <v>50</v>
      </c>
      <c r="X8" s="20">
        <f>IF($V8=X$1,$AB8,0)</f>
        <v>0</v>
      </c>
      <c r="Y8" s="20">
        <f>IF($V8=Y$1,$AB8,0)</f>
        <v>0</v>
      </c>
      <c r="Z8" s="20">
        <f>IF($V8=Z$1,$AB8,0)</f>
        <v>0</v>
      </c>
      <c r="AB8" s="20">
        <v>50</v>
      </c>
      <c r="AF8" s="20">
        <f>IF(AB8="",0,AB8*4)</f>
        <v>200</v>
      </c>
      <c r="AG8" s="20">
        <f>IF(AC8="",0,AC8*9)</f>
        <v>0</v>
      </c>
      <c r="AH8" s="20">
        <f>IF(AE8="",0,AE8*4)</f>
        <v>0</v>
      </c>
      <c r="AI8" s="20">
        <f>SUM(AF8:AH8)</f>
        <v>200</v>
      </c>
      <c r="AJ8" s="20">
        <f>SUM(AF8,AG8)</f>
        <v>200</v>
      </c>
      <c r="CH8" s="20" t="s">
        <v>77</v>
      </c>
      <c r="CI8" s="20" t="s">
        <v>78</v>
      </c>
      <c r="CJ8" s="20">
        <f>1*285</f>
        <v>285</v>
      </c>
      <c r="CK8" s="20">
        <f>CJ8*D8/1000</f>
        <v>285</v>
      </c>
      <c r="CL8" s="20">
        <f t="shared" ref="CL8:CL71" si="0">SUM(F8:S8)+T8/T$3+SUMPRODUCT(W8:AA8,1/W$3:AA$3)*1000+SUMPRODUCT(AM8:BF8,1/AM$3:BF$3)+SUMPRODUCT(BZ8:CB8,1/BZ$3:CB$3)+SUMPRODUCT(CF8:CG8,1/CF$3:CG$3)*1000</f>
        <v>277.5372454983459</v>
      </c>
    </row>
    <row r="9" spans="1:91">
      <c r="A9" s="20" t="s">
        <v>558</v>
      </c>
      <c r="B9" s="20" t="s">
        <v>79</v>
      </c>
      <c r="C9" s="20" t="s">
        <v>76</v>
      </c>
      <c r="D9" s="20">
        <v>1000</v>
      </c>
      <c r="E9" s="20">
        <v>1000</v>
      </c>
      <c r="V9" s="20" t="s">
        <v>11</v>
      </c>
      <c r="W9" s="20">
        <f t="shared" ref="W9:Z15" si="1">IF($V9=W$1,$AB9,0)</f>
        <v>100</v>
      </c>
      <c r="X9" s="20">
        <f t="shared" si="1"/>
        <v>0</v>
      </c>
      <c r="Y9" s="20">
        <f t="shared" si="1"/>
        <v>0</v>
      </c>
      <c r="Z9" s="20">
        <f t="shared" si="1"/>
        <v>0</v>
      </c>
      <c r="AB9" s="20">
        <v>100</v>
      </c>
      <c r="AF9" s="20">
        <f t="shared" ref="AF9:AF15" si="2">IF(AB9="",0,AB9*4)</f>
        <v>400</v>
      </c>
      <c r="AG9" s="20">
        <f t="shared" ref="AG9:AG15" si="3">IF(AC9="",0,AC9*9)</f>
        <v>0</v>
      </c>
      <c r="AH9" s="20">
        <f t="shared" ref="AH9:AH15" si="4">IF(AE9="",0,AE9*4)</f>
        <v>0</v>
      </c>
      <c r="AI9" s="20">
        <f t="shared" ref="AI9:AI15" si="5">SUM(AF9:AH9)</f>
        <v>400</v>
      </c>
      <c r="AJ9" s="20">
        <f t="shared" ref="AJ9:AJ15" si="6">SUM(AF9,AG9)</f>
        <v>400</v>
      </c>
      <c r="CH9" s="20" t="s">
        <v>77</v>
      </c>
      <c r="CI9" s="20" t="s">
        <v>80</v>
      </c>
      <c r="CJ9" s="20">
        <f>2*285</f>
        <v>570</v>
      </c>
      <c r="CK9" s="20">
        <f t="shared" ref="CK9:CK72" si="7">CJ9*D9/1000</f>
        <v>570</v>
      </c>
      <c r="CL9" s="20">
        <f t="shared" si="0"/>
        <v>555.07449099669179</v>
      </c>
    </row>
    <row r="10" spans="1:91">
      <c r="A10" s="20" t="s">
        <v>558</v>
      </c>
      <c r="B10" s="20" t="s">
        <v>81</v>
      </c>
      <c r="C10" s="20" t="s">
        <v>76</v>
      </c>
      <c r="D10" s="20">
        <v>1000</v>
      </c>
      <c r="E10" s="20">
        <v>1000</v>
      </c>
      <c r="V10" s="20" t="s">
        <v>11</v>
      </c>
      <c r="W10" s="20">
        <f t="shared" si="1"/>
        <v>200</v>
      </c>
      <c r="X10" s="20">
        <f t="shared" si="1"/>
        <v>0</v>
      </c>
      <c r="Y10" s="20">
        <f t="shared" si="1"/>
        <v>0</v>
      </c>
      <c r="Z10" s="20">
        <f t="shared" si="1"/>
        <v>0</v>
      </c>
      <c r="AB10" s="20">
        <v>200</v>
      </c>
      <c r="AF10" s="20">
        <f t="shared" si="2"/>
        <v>800</v>
      </c>
      <c r="AG10" s="20">
        <f t="shared" si="3"/>
        <v>0</v>
      </c>
      <c r="AH10" s="20">
        <f t="shared" si="4"/>
        <v>0</v>
      </c>
      <c r="AI10" s="20">
        <f t="shared" si="5"/>
        <v>800</v>
      </c>
      <c r="AJ10" s="20">
        <f t="shared" si="6"/>
        <v>800</v>
      </c>
      <c r="CH10" s="20" t="s">
        <v>77</v>
      </c>
      <c r="CI10" s="20" t="s">
        <v>82</v>
      </c>
      <c r="CJ10" s="20">
        <f>4*285</f>
        <v>1140</v>
      </c>
      <c r="CK10" s="20">
        <f t="shared" si="7"/>
        <v>1140</v>
      </c>
      <c r="CL10" s="20">
        <f t="shared" si="0"/>
        <v>1110.1489819933836</v>
      </c>
    </row>
    <row r="11" spans="1:91">
      <c r="A11" s="20" t="s">
        <v>558</v>
      </c>
      <c r="B11" s="20" t="s">
        <v>83</v>
      </c>
      <c r="C11" s="20" t="s">
        <v>76</v>
      </c>
      <c r="D11" s="20">
        <v>1000</v>
      </c>
      <c r="E11" s="20">
        <v>1000</v>
      </c>
      <c r="V11" s="20" t="s">
        <v>11</v>
      </c>
      <c r="W11" s="20">
        <f t="shared" si="1"/>
        <v>300</v>
      </c>
      <c r="X11" s="20">
        <f t="shared" si="1"/>
        <v>0</v>
      </c>
      <c r="Y11" s="20">
        <f t="shared" si="1"/>
        <v>0</v>
      </c>
      <c r="Z11" s="20">
        <f t="shared" si="1"/>
        <v>0</v>
      </c>
      <c r="AB11" s="20">
        <v>300</v>
      </c>
      <c r="AF11" s="20">
        <f t="shared" si="2"/>
        <v>1200</v>
      </c>
      <c r="AG11" s="20">
        <f t="shared" si="3"/>
        <v>0</v>
      </c>
      <c r="AH11" s="20">
        <f t="shared" si="4"/>
        <v>0</v>
      </c>
      <c r="AI11" s="20">
        <f t="shared" si="5"/>
        <v>1200</v>
      </c>
      <c r="AJ11" s="20">
        <f t="shared" si="6"/>
        <v>1200</v>
      </c>
      <c r="CH11" s="20" t="s">
        <v>77</v>
      </c>
      <c r="CI11" s="20" t="s">
        <v>84</v>
      </c>
      <c r="CJ11" s="20">
        <f>6*285</f>
        <v>1710</v>
      </c>
      <c r="CK11" s="20">
        <f t="shared" si="7"/>
        <v>1710</v>
      </c>
      <c r="CL11" s="20">
        <f t="shared" si="0"/>
        <v>1665.2234729900752</v>
      </c>
    </row>
    <row r="12" spans="1:91">
      <c r="A12" s="20" t="s">
        <v>558</v>
      </c>
      <c r="B12" s="20" t="s">
        <v>85</v>
      </c>
      <c r="C12" s="20" t="s">
        <v>76</v>
      </c>
      <c r="D12" s="20">
        <v>1000</v>
      </c>
      <c r="E12" s="20">
        <v>1000</v>
      </c>
      <c r="V12" s="20" t="s">
        <v>11</v>
      </c>
      <c r="W12" s="20">
        <f t="shared" si="1"/>
        <v>500</v>
      </c>
      <c r="X12" s="20">
        <f t="shared" si="1"/>
        <v>0</v>
      </c>
      <c r="Y12" s="20">
        <f t="shared" si="1"/>
        <v>0</v>
      </c>
      <c r="Z12" s="20">
        <f t="shared" si="1"/>
        <v>0</v>
      </c>
      <c r="AB12" s="20">
        <v>500</v>
      </c>
      <c r="AF12" s="20">
        <f t="shared" si="2"/>
        <v>2000</v>
      </c>
      <c r="AG12" s="20">
        <f t="shared" si="3"/>
        <v>0</v>
      </c>
      <c r="AH12" s="20">
        <f t="shared" si="4"/>
        <v>0</v>
      </c>
      <c r="AI12" s="20">
        <f t="shared" si="5"/>
        <v>2000</v>
      </c>
      <c r="AJ12" s="20">
        <f t="shared" si="6"/>
        <v>2000</v>
      </c>
      <c r="CH12" s="20" t="s">
        <v>77</v>
      </c>
      <c r="CI12" s="20" t="s">
        <v>86</v>
      </c>
      <c r="CJ12" s="20">
        <f>12*285</f>
        <v>3420</v>
      </c>
      <c r="CK12" s="20">
        <f t="shared" si="7"/>
        <v>3420</v>
      </c>
      <c r="CL12" s="20">
        <f t="shared" si="0"/>
        <v>2775.3724549834587</v>
      </c>
    </row>
    <row r="13" spans="1:91">
      <c r="A13" s="20" t="s">
        <v>558</v>
      </c>
      <c r="B13" s="20" t="s">
        <v>87</v>
      </c>
      <c r="C13" s="20" t="s">
        <v>76</v>
      </c>
      <c r="D13" s="20">
        <v>1000</v>
      </c>
      <c r="E13" s="20">
        <v>1000</v>
      </c>
      <c r="V13" s="20" t="s">
        <v>11</v>
      </c>
      <c r="W13" s="20">
        <f t="shared" si="1"/>
        <v>700</v>
      </c>
      <c r="X13" s="20">
        <f t="shared" si="1"/>
        <v>0</v>
      </c>
      <c r="Y13" s="20">
        <f t="shared" si="1"/>
        <v>0</v>
      </c>
      <c r="Z13" s="20">
        <f t="shared" si="1"/>
        <v>0</v>
      </c>
      <c r="AB13" s="20">
        <v>700</v>
      </c>
      <c r="AF13" s="20">
        <f t="shared" si="2"/>
        <v>2800</v>
      </c>
      <c r="AG13" s="20">
        <f t="shared" si="3"/>
        <v>0</v>
      </c>
      <c r="AH13" s="20">
        <f t="shared" si="4"/>
        <v>0</v>
      </c>
      <c r="AI13" s="20">
        <f t="shared" si="5"/>
        <v>2800</v>
      </c>
      <c r="AJ13" s="20">
        <f t="shared" si="6"/>
        <v>2800</v>
      </c>
      <c r="CH13" s="20" t="s">
        <v>77</v>
      </c>
      <c r="CI13" s="20" t="s">
        <v>88</v>
      </c>
      <c r="CJ13" s="20">
        <f>15*285</f>
        <v>4275</v>
      </c>
      <c r="CK13" s="20">
        <f t="shared" si="7"/>
        <v>4275</v>
      </c>
      <c r="CL13" s="20">
        <f t="shared" si="0"/>
        <v>3885.5214369768423</v>
      </c>
    </row>
    <row r="14" spans="1:91">
      <c r="A14" s="20" t="s">
        <v>558</v>
      </c>
      <c r="B14" s="20" t="s">
        <v>89</v>
      </c>
      <c r="C14" s="20" t="s">
        <v>76</v>
      </c>
      <c r="D14" s="20">
        <v>1000</v>
      </c>
      <c r="E14" s="20">
        <v>1000</v>
      </c>
      <c r="V14" s="20" t="s">
        <v>12</v>
      </c>
      <c r="W14" s="20">
        <f t="shared" si="1"/>
        <v>0</v>
      </c>
      <c r="X14" s="20">
        <f t="shared" si="1"/>
        <v>100</v>
      </c>
      <c r="Y14" s="20">
        <f t="shared" si="1"/>
        <v>0</v>
      </c>
      <c r="Z14" s="20">
        <f t="shared" si="1"/>
        <v>0</v>
      </c>
      <c r="AB14" s="20">
        <v>100</v>
      </c>
      <c r="AF14" s="20">
        <f t="shared" si="2"/>
        <v>400</v>
      </c>
      <c r="AG14" s="20">
        <f t="shared" si="3"/>
        <v>0</v>
      </c>
      <c r="AH14" s="20">
        <f t="shared" si="4"/>
        <v>0</v>
      </c>
      <c r="AI14" s="20">
        <f t="shared" si="5"/>
        <v>400</v>
      </c>
      <c r="AJ14" s="20">
        <f t="shared" si="6"/>
        <v>400</v>
      </c>
      <c r="CH14" s="20" t="s">
        <v>90</v>
      </c>
      <c r="CI14" s="20" t="s">
        <v>78</v>
      </c>
      <c r="CJ14" s="20">
        <f>1*285</f>
        <v>285</v>
      </c>
      <c r="CK14" s="20">
        <f t="shared" si="7"/>
        <v>285</v>
      </c>
      <c r="CL14" s="20">
        <f t="shared" si="0"/>
        <v>292.14139643587492</v>
      </c>
    </row>
    <row r="15" spans="1:91">
      <c r="A15" s="20" t="s">
        <v>558</v>
      </c>
      <c r="B15" s="20" t="s">
        <v>91</v>
      </c>
      <c r="C15" s="20" t="s">
        <v>76</v>
      </c>
      <c r="D15" s="20">
        <v>1000</v>
      </c>
      <c r="E15" s="20">
        <v>1000</v>
      </c>
      <c r="V15" s="20" t="s">
        <v>13</v>
      </c>
      <c r="W15" s="20">
        <f t="shared" si="1"/>
        <v>0</v>
      </c>
      <c r="X15" s="20">
        <f t="shared" si="1"/>
        <v>0</v>
      </c>
      <c r="Y15" s="20">
        <f t="shared" si="1"/>
        <v>50</v>
      </c>
      <c r="Z15" s="20">
        <f t="shared" si="1"/>
        <v>0</v>
      </c>
      <c r="AB15" s="20">
        <v>50</v>
      </c>
      <c r="AF15" s="20">
        <f t="shared" si="2"/>
        <v>200</v>
      </c>
      <c r="AG15" s="20">
        <f t="shared" si="3"/>
        <v>0</v>
      </c>
      <c r="AH15" s="20">
        <f t="shared" si="4"/>
        <v>0</v>
      </c>
      <c r="AI15" s="20">
        <f t="shared" si="5"/>
        <v>200</v>
      </c>
      <c r="AJ15" s="20">
        <f t="shared" si="6"/>
        <v>200</v>
      </c>
      <c r="CH15" s="20" t="s">
        <v>92</v>
      </c>
      <c r="CI15" s="20" t="s">
        <v>78</v>
      </c>
      <c r="CJ15" s="20">
        <f>1*285</f>
        <v>285</v>
      </c>
      <c r="CK15" s="20">
        <f t="shared" si="7"/>
        <v>285</v>
      </c>
      <c r="CL15" s="20">
        <f t="shared" si="0"/>
        <v>328.62306933946763</v>
      </c>
    </row>
    <row r="17" spans="1:90">
      <c r="B17" s="20" t="s">
        <v>536</v>
      </c>
    </row>
    <row r="18" spans="1:90">
      <c r="A18" s="20" t="s">
        <v>556</v>
      </c>
      <c r="B18" s="20" t="s">
        <v>93</v>
      </c>
      <c r="C18" s="20" t="s">
        <v>76</v>
      </c>
      <c r="D18" s="20">
        <v>1000</v>
      </c>
      <c r="E18" s="20">
        <v>1000</v>
      </c>
      <c r="F18" s="20">
        <v>154</v>
      </c>
      <c r="J18" s="20">
        <v>154</v>
      </c>
      <c r="W18" s="20">
        <f t="shared" ref="W18:Z51" si="8">IF($V18=W$1,$AB18,0)</f>
        <v>0</v>
      </c>
      <c r="X18" s="20">
        <f t="shared" si="8"/>
        <v>0</v>
      </c>
      <c r="Y18" s="20">
        <f t="shared" si="8"/>
        <v>0</v>
      </c>
      <c r="Z18" s="20">
        <f t="shared" si="8"/>
        <v>0</v>
      </c>
      <c r="AB18" s="20">
        <v>0</v>
      </c>
      <c r="AF18" s="20">
        <f t="shared" ref="AF18:AF51" si="9">IF(AB18="",0,AB18*4)</f>
        <v>0</v>
      </c>
      <c r="AG18" s="20">
        <f t="shared" ref="AG18:AG51" si="10">IF(AC18="",0,AC18*9)</f>
        <v>0</v>
      </c>
      <c r="AH18" s="20">
        <f t="shared" ref="AH18:AH51" si="11">IF(AE18="",0,AE18*4)</f>
        <v>0</v>
      </c>
      <c r="AI18" s="20">
        <f t="shared" ref="AI18:AI51" si="12">SUM(AF18:AH18)</f>
        <v>0</v>
      </c>
      <c r="AJ18" s="20">
        <f t="shared" ref="AJ18:AJ51" si="13">SUM(AF18,AG18)</f>
        <v>0</v>
      </c>
      <c r="CH18" s="20" t="s">
        <v>94</v>
      </c>
      <c r="CI18" s="20">
        <v>1</v>
      </c>
      <c r="CJ18" s="20">
        <f>1*285</f>
        <v>285</v>
      </c>
      <c r="CK18" s="20">
        <f t="shared" si="7"/>
        <v>285</v>
      </c>
      <c r="CL18" s="20">
        <f t="shared" si="0"/>
        <v>308</v>
      </c>
    </row>
    <row r="19" spans="1:90">
      <c r="A19" s="20" t="s">
        <v>536</v>
      </c>
      <c r="B19" s="20" t="s">
        <v>95</v>
      </c>
      <c r="C19" s="20" t="s">
        <v>96</v>
      </c>
      <c r="D19" s="20">
        <v>1000</v>
      </c>
      <c r="E19" s="20">
        <v>1000</v>
      </c>
      <c r="F19" s="20">
        <v>147</v>
      </c>
      <c r="G19" s="20">
        <v>4</v>
      </c>
      <c r="H19" s="20">
        <v>4.5</v>
      </c>
      <c r="J19" s="20">
        <v>155.5</v>
      </c>
      <c r="W19" s="20">
        <f t="shared" si="8"/>
        <v>0</v>
      </c>
      <c r="X19" s="20">
        <f t="shared" si="8"/>
        <v>0</v>
      </c>
      <c r="Y19" s="20">
        <f t="shared" si="8"/>
        <v>0</v>
      </c>
      <c r="Z19" s="20">
        <f t="shared" si="8"/>
        <v>0</v>
      </c>
      <c r="AF19" s="20">
        <f t="shared" si="9"/>
        <v>0</v>
      </c>
      <c r="AG19" s="20">
        <f t="shared" si="10"/>
        <v>0</v>
      </c>
      <c r="AH19" s="20">
        <f t="shared" si="11"/>
        <v>0</v>
      </c>
      <c r="AI19" s="20">
        <f t="shared" si="12"/>
        <v>0</v>
      </c>
      <c r="AJ19" s="20">
        <f t="shared" si="13"/>
        <v>0</v>
      </c>
      <c r="CH19" s="20" t="s">
        <v>97</v>
      </c>
      <c r="CI19" s="20" t="s">
        <v>78</v>
      </c>
      <c r="CJ19" s="20">
        <f>1*285</f>
        <v>285</v>
      </c>
      <c r="CK19" s="20">
        <f t="shared" si="7"/>
        <v>285</v>
      </c>
      <c r="CL19" s="20">
        <f t="shared" si="0"/>
        <v>311</v>
      </c>
    </row>
    <row r="20" spans="1:90">
      <c r="A20" s="20" t="s">
        <v>536</v>
      </c>
      <c r="B20" s="20" t="s">
        <v>98</v>
      </c>
      <c r="C20" s="20" t="s">
        <v>99</v>
      </c>
      <c r="D20" s="20">
        <v>1000</v>
      </c>
      <c r="E20" s="20">
        <v>1000</v>
      </c>
      <c r="F20" s="20">
        <v>130</v>
      </c>
      <c r="G20" s="20">
        <v>4</v>
      </c>
      <c r="H20" s="20">
        <v>3</v>
      </c>
      <c r="J20" s="20">
        <v>109</v>
      </c>
      <c r="M20" s="20">
        <v>28</v>
      </c>
      <c r="W20" s="20">
        <f t="shared" si="8"/>
        <v>0</v>
      </c>
      <c r="X20" s="20">
        <f t="shared" si="8"/>
        <v>0</v>
      </c>
      <c r="Y20" s="20">
        <f t="shared" si="8"/>
        <v>0</v>
      </c>
      <c r="Z20" s="20">
        <f t="shared" si="8"/>
        <v>0</v>
      </c>
      <c r="AF20" s="20">
        <f t="shared" si="9"/>
        <v>0</v>
      </c>
      <c r="AG20" s="20">
        <f t="shared" si="10"/>
        <v>0</v>
      </c>
      <c r="AH20" s="20">
        <f t="shared" si="11"/>
        <v>0</v>
      </c>
      <c r="AI20" s="20">
        <f t="shared" si="12"/>
        <v>0</v>
      </c>
      <c r="AJ20" s="20">
        <f t="shared" si="13"/>
        <v>0</v>
      </c>
      <c r="CH20" s="20" t="s">
        <v>100</v>
      </c>
      <c r="CI20" s="20" t="s">
        <v>101</v>
      </c>
      <c r="CJ20" s="20">
        <f>(0.7+1.1)/2*285</f>
        <v>256.5</v>
      </c>
      <c r="CK20" s="20">
        <f t="shared" si="7"/>
        <v>256.5</v>
      </c>
      <c r="CL20" s="20">
        <f t="shared" si="0"/>
        <v>274</v>
      </c>
    </row>
    <row r="21" spans="1:90">
      <c r="A21" s="20" t="s">
        <v>536</v>
      </c>
      <c r="B21" s="20" t="s">
        <v>102</v>
      </c>
      <c r="C21" s="20" t="s">
        <v>99</v>
      </c>
      <c r="D21" s="20">
        <v>1000</v>
      </c>
      <c r="E21" s="20">
        <v>1000</v>
      </c>
      <c r="F21" s="20">
        <v>131</v>
      </c>
      <c r="G21" s="20">
        <v>4</v>
      </c>
      <c r="H21" s="20">
        <v>3</v>
      </c>
      <c r="J21" s="20">
        <v>110</v>
      </c>
      <c r="M21" s="20">
        <v>28</v>
      </c>
      <c r="V21" s="20" t="s">
        <v>11</v>
      </c>
      <c r="W21" s="20">
        <f t="shared" si="8"/>
        <v>50</v>
      </c>
      <c r="X21" s="20">
        <f t="shared" si="8"/>
        <v>0</v>
      </c>
      <c r="Y21" s="20">
        <f t="shared" si="8"/>
        <v>0</v>
      </c>
      <c r="Z21" s="20">
        <f t="shared" si="8"/>
        <v>0</v>
      </c>
      <c r="AB21" s="20">
        <v>50</v>
      </c>
      <c r="AF21" s="20">
        <f t="shared" si="9"/>
        <v>200</v>
      </c>
      <c r="AG21" s="20">
        <f t="shared" si="10"/>
        <v>0</v>
      </c>
      <c r="AH21" s="20">
        <f t="shared" si="11"/>
        <v>0</v>
      </c>
      <c r="AI21" s="20">
        <f t="shared" si="12"/>
        <v>200</v>
      </c>
      <c r="AJ21" s="20">
        <f t="shared" si="13"/>
        <v>200</v>
      </c>
      <c r="CH21" s="20" t="s">
        <v>103</v>
      </c>
      <c r="CI21" s="20" t="s">
        <v>104</v>
      </c>
      <c r="CJ21" s="20">
        <f>(1.8+2.2)/2*285</f>
        <v>570</v>
      </c>
      <c r="CK21" s="20">
        <f t="shared" si="7"/>
        <v>570</v>
      </c>
      <c r="CL21" s="20">
        <f t="shared" si="0"/>
        <v>553.5372454983459</v>
      </c>
    </row>
    <row r="22" spans="1:90">
      <c r="A22" s="20" t="s">
        <v>536</v>
      </c>
      <c r="B22" s="20" t="s">
        <v>105</v>
      </c>
      <c r="C22" s="20" t="s">
        <v>96</v>
      </c>
      <c r="D22" s="20">
        <v>1000</v>
      </c>
      <c r="E22" s="20">
        <v>1000</v>
      </c>
      <c r="F22" s="20">
        <v>130</v>
      </c>
      <c r="G22" s="20">
        <v>4</v>
      </c>
      <c r="H22" s="20">
        <v>3</v>
      </c>
      <c r="J22" s="20">
        <v>109</v>
      </c>
      <c r="M22" s="20">
        <v>28</v>
      </c>
      <c r="W22" s="20">
        <f t="shared" si="8"/>
        <v>0</v>
      </c>
      <c r="X22" s="20">
        <f t="shared" si="8"/>
        <v>0</v>
      </c>
      <c r="Y22" s="20">
        <f t="shared" si="8"/>
        <v>0</v>
      </c>
      <c r="Z22" s="20">
        <f t="shared" si="8"/>
        <v>0</v>
      </c>
      <c r="AF22" s="20">
        <f t="shared" si="9"/>
        <v>0</v>
      </c>
      <c r="AG22" s="20">
        <f t="shared" si="10"/>
        <v>0</v>
      </c>
      <c r="AH22" s="20">
        <f t="shared" si="11"/>
        <v>0</v>
      </c>
      <c r="AI22" s="20">
        <f t="shared" si="12"/>
        <v>0</v>
      </c>
      <c r="AJ22" s="20">
        <f t="shared" si="13"/>
        <v>0</v>
      </c>
      <c r="CH22" s="20" t="s">
        <v>100</v>
      </c>
      <c r="CI22" s="20" t="s">
        <v>106</v>
      </c>
      <c r="CJ22" s="20">
        <f>0.9*285</f>
        <v>256.5</v>
      </c>
      <c r="CK22" s="20">
        <f t="shared" si="7"/>
        <v>256.5</v>
      </c>
      <c r="CL22" s="20">
        <f t="shared" si="0"/>
        <v>274</v>
      </c>
    </row>
    <row r="23" spans="1:90">
      <c r="A23" s="20" t="s">
        <v>536</v>
      </c>
      <c r="B23" s="20" t="s">
        <v>107</v>
      </c>
      <c r="C23" s="20" t="s">
        <v>96</v>
      </c>
      <c r="D23" s="20">
        <v>1000</v>
      </c>
      <c r="E23" s="20">
        <v>1000</v>
      </c>
      <c r="F23" s="20">
        <v>130</v>
      </c>
      <c r="G23" s="20">
        <v>4</v>
      </c>
      <c r="H23" s="20">
        <v>3</v>
      </c>
      <c r="J23" s="20">
        <v>109</v>
      </c>
      <c r="M23" s="20">
        <v>28</v>
      </c>
      <c r="V23" s="20" t="s">
        <v>11</v>
      </c>
      <c r="W23" s="20">
        <f t="shared" si="8"/>
        <v>50</v>
      </c>
      <c r="X23" s="20">
        <f t="shared" si="8"/>
        <v>0</v>
      </c>
      <c r="Y23" s="20">
        <f t="shared" si="8"/>
        <v>0</v>
      </c>
      <c r="Z23" s="20">
        <f t="shared" si="8"/>
        <v>0</v>
      </c>
      <c r="AB23" s="20">
        <v>50</v>
      </c>
      <c r="AF23" s="20">
        <f t="shared" si="9"/>
        <v>200</v>
      </c>
      <c r="AG23" s="20">
        <f t="shared" si="10"/>
        <v>0</v>
      </c>
      <c r="AH23" s="20">
        <f t="shared" si="11"/>
        <v>0</v>
      </c>
      <c r="AI23" s="20">
        <f t="shared" si="12"/>
        <v>200</v>
      </c>
      <c r="AJ23" s="20">
        <f t="shared" si="13"/>
        <v>200</v>
      </c>
      <c r="CH23" s="20" t="s">
        <v>77</v>
      </c>
      <c r="CI23" s="20" t="s">
        <v>80</v>
      </c>
      <c r="CJ23" s="20">
        <f>2*285</f>
        <v>570</v>
      </c>
      <c r="CK23" s="20">
        <f t="shared" si="7"/>
        <v>570</v>
      </c>
      <c r="CL23" s="20">
        <f t="shared" si="0"/>
        <v>551.5372454983459</v>
      </c>
    </row>
    <row r="24" spans="1:90">
      <c r="A24" s="20" t="s">
        <v>536</v>
      </c>
      <c r="B24" s="20" t="s">
        <v>108</v>
      </c>
      <c r="C24" s="20" t="s">
        <v>96</v>
      </c>
      <c r="D24" s="20">
        <v>1000</v>
      </c>
      <c r="E24" s="20">
        <v>1000</v>
      </c>
      <c r="F24" s="20">
        <v>130</v>
      </c>
      <c r="G24" s="20">
        <v>4</v>
      </c>
      <c r="H24" s="20">
        <v>3</v>
      </c>
      <c r="J24" s="20">
        <v>109</v>
      </c>
      <c r="M24" s="20">
        <v>28</v>
      </c>
      <c r="V24" s="20" t="s">
        <v>14</v>
      </c>
      <c r="W24" s="20">
        <f t="shared" si="8"/>
        <v>0</v>
      </c>
      <c r="X24" s="20">
        <f t="shared" si="8"/>
        <v>0</v>
      </c>
      <c r="Y24" s="20">
        <f t="shared" si="8"/>
        <v>0</v>
      </c>
      <c r="Z24" s="20">
        <f t="shared" si="8"/>
        <v>50</v>
      </c>
      <c r="AB24" s="20">
        <v>50</v>
      </c>
      <c r="AF24" s="20">
        <f t="shared" si="9"/>
        <v>200</v>
      </c>
      <c r="AG24" s="20">
        <f t="shared" si="10"/>
        <v>0</v>
      </c>
      <c r="AH24" s="20">
        <f t="shared" si="11"/>
        <v>0</v>
      </c>
      <c r="AI24" s="20">
        <f t="shared" si="12"/>
        <v>200</v>
      </c>
      <c r="AJ24" s="20">
        <f t="shared" si="13"/>
        <v>200</v>
      </c>
      <c r="CH24" s="20" t="s">
        <v>109</v>
      </c>
      <c r="CI24" s="20" t="s">
        <v>80</v>
      </c>
      <c r="CJ24" s="20">
        <f>2*285</f>
        <v>570</v>
      </c>
      <c r="CK24" s="20">
        <f t="shared" si="7"/>
        <v>570</v>
      </c>
      <c r="CL24" s="20">
        <f t="shared" si="0"/>
        <v>548.46890267332719</v>
      </c>
    </row>
    <row r="25" spans="1:90">
      <c r="A25" s="20" t="s">
        <v>536</v>
      </c>
      <c r="B25" s="20" t="s">
        <v>110</v>
      </c>
      <c r="C25" s="20" t="s">
        <v>96</v>
      </c>
      <c r="D25" s="20">
        <v>1000</v>
      </c>
      <c r="E25" s="20">
        <v>1000</v>
      </c>
      <c r="F25" s="20">
        <v>130</v>
      </c>
      <c r="G25" s="20">
        <v>4</v>
      </c>
      <c r="H25" s="20">
        <v>3</v>
      </c>
      <c r="J25" s="20">
        <v>109</v>
      </c>
      <c r="M25" s="20">
        <v>28</v>
      </c>
      <c r="V25" s="20" t="s">
        <v>12</v>
      </c>
      <c r="W25" s="20">
        <f t="shared" si="8"/>
        <v>0</v>
      </c>
      <c r="X25" s="20">
        <f t="shared" si="8"/>
        <v>50</v>
      </c>
      <c r="Y25" s="20">
        <f t="shared" si="8"/>
        <v>0</v>
      </c>
      <c r="Z25" s="20">
        <f t="shared" si="8"/>
        <v>0</v>
      </c>
      <c r="AB25" s="20">
        <v>50</v>
      </c>
      <c r="AF25" s="20">
        <f t="shared" si="9"/>
        <v>200</v>
      </c>
      <c r="AG25" s="20">
        <f t="shared" si="10"/>
        <v>0</v>
      </c>
      <c r="AH25" s="20">
        <f t="shared" si="11"/>
        <v>0</v>
      </c>
      <c r="AI25" s="20">
        <f t="shared" si="12"/>
        <v>200</v>
      </c>
      <c r="AJ25" s="20">
        <f t="shared" si="13"/>
        <v>200</v>
      </c>
      <c r="CH25" s="20" t="s">
        <v>77</v>
      </c>
      <c r="CI25" s="20" t="s">
        <v>111</v>
      </c>
      <c r="CJ25" s="20">
        <f>1.5*285</f>
        <v>427.5</v>
      </c>
      <c r="CK25" s="20">
        <f t="shared" si="7"/>
        <v>427.5</v>
      </c>
      <c r="CL25" s="20">
        <f t="shared" si="0"/>
        <v>420.07069821793743</v>
      </c>
    </row>
    <row r="26" spans="1:90">
      <c r="A26" s="20" t="s">
        <v>536</v>
      </c>
      <c r="B26" s="20" t="s">
        <v>112</v>
      </c>
      <c r="C26" s="20" t="s">
        <v>113</v>
      </c>
      <c r="D26" s="20">
        <v>1000</v>
      </c>
      <c r="E26" s="20">
        <v>1000</v>
      </c>
      <c r="F26" s="20">
        <v>131</v>
      </c>
      <c r="G26" s="20">
        <v>4</v>
      </c>
      <c r="H26" s="20">
        <v>3</v>
      </c>
      <c r="J26" s="20">
        <v>110</v>
      </c>
      <c r="M26" s="20">
        <v>28</v>
      </c>
      <c r="W26" s="20">
        <f t="shared" si="8"/>
        <v>0</v>
      </c>
      <c r="X26" s="20">
        <f t="shared" si="8"/>
        <v>0</v>
      </c>
      <c r="Y26" s="20">
        <f t="shared" si="8"/>
        <v>0</v>
      </c>
      <c r="Z26" s="20">
        <f t="shared" si="8"/>
        <v>0</v>
      </c>
      <c r="AF26" s="20">
        <f t="shared" si="9"/>
        <v>0</v>
      </c>
      <c r="AG26" s="20">
        <f t="shared" si="10"/>
        <v>0</v>
      </c>
      <c r="AH26" s="20">
        <f t="shared" si="11"/>
        <v>0</v>
      </c>
      <c r="AI26" s="20">
        <f t="shared" si="12"/>
        <v>0</v>
      </c>
      <c r="AJ26" s="20">
        <f t="shared" si="13"/>
        <v>0</v>
      </c>
      <c r="CH26" s="20" t="s">
        <v>100</v>
      </c>
      <c r="CI26" s="20" t="s">
        <v>106</v>
      </c>
      <c r="CJ26" s="20">
        <f>0.9*285</f>
        <v>256.5</v>
      </c>
      <c r="CK26" s="20">
        <f t="shared" si="7"/>
        <v>256.5</v>
      </c>
      <c r="CL26" s="20">
        <f t="shared" si="0"/>
        <v>276</v>
      </c>
    </row>
    <row r="27" spans="1:90">
      <c r="A27" s="20" t="s">
        <v>536</v>
      </c>
      <c r="B27" s="20" t="s">
        <v>114</v>
      </c>
      <c r="C27" s="20" t="s">
        <v>113</v>
      </c>
      <c r="D27" s="20">
        <v>1000</v>
      </c>
      <c r="E27" s="20">
        <v>1000</v>
      </c>
      <c r="F27" s="20">
        <v>131</v>
      </c>
      <c r="G27" s="20">
        <v>4</v>
      </c>
      <c r="H27" s="20">
        <v>3</v>
      </c>
      <c r="J27" s="20">
        <v>110</v>
      </c>
      <c r="M27" s="20">
        <v>28</v>
      </c>
      <c r="V27" s="20" t="s">
        <v>11</v>
      </c>
      <c r="W27" s="20">
        <f t="shared" si="8"/>
        <v>50</v>
      </c>
      <c r="X27" s="20">
        <f t="shared" si="8"/>
        <v>0</v>
      </c>
      <c r="Y27" s="20">
        <f t="shared" si="8"/>
        <v>0</v>
      </c>
      <c r="Z27" s="20">
        <f t="shared" si="8"/>
        <v>0</v>
      </c>
      <c r="AB27" s="20">
        <v>50</v>
      </c>
      <c r="AF27" s="20">
        <f t="shared" si="9"/>
        <v>200</v>
      </c>
      <c r="AG27" s="20">
        <f t="shared" si="10"/>
        <v>0</v>
      </c>
      <c r="AH27" s="20">
        <f t="shared" si="11"/>
        <v>0</v>
      </c>
      <c r="AI27" s="20">
        <f t="shared" si="12"/>
        <v>200</v>
      </c>
      <c r="AJ27" s="20">
        <f t="shared" si="13"/>
        <v>200</v>
      </c>
      <c r="CH27" s="20" t="s">
        <v>115</v>
      </c>
      <c r="CI27" s="20" t="s">
        <v>80</v>
      </c>
      <c r="CJ27" s="20">
        <f>2*285</f>
        <v>570</v>
      </c>
      <c r="CK27" s="20">
        <f t="shared" si="7"/>
        <v>570</v>
      </c>
      <c r="CL27" s="20">
        <f t="shared" si="0"/>
        <v>553.5372454983459</v>
      </c>
    </row>
    <row r="28" spans="1:90">
      <c r="A28" s="20" t="s">
        <v>536</v>
      </c>
      <c r="B28" s="20" t="s">
        <v>116</v>
      </c>
      <c r="C28" s="20" t="s">
        <v>113</v>
      </c>
      <c r="D28" s="20">
        <v>1000</v>
      </c>
      <c r="E28" s="20">
        <v>1000</v>
      </c>
      <c r="F28" s="20">
        <v>131</v>
      </c>
      <c r="G28" s="20">
        <v>4</v>
      </c>
      <c r="H28" s="20">
        <v>3</v>
      </c>
      <c r="J28" s="20">
        <v>110</v>
      </c>
      <c r="M28" s="20">
        <v>28</v>
      </c>
      <c r="V28" s="20" t="s">
        <v>14</v>
      </c>
      <c r="W28" s="20">
        <f t="shared" si="8"/>
        <v>0</v>
      </c>
      <c r="X28" s="20">
        <f t="shared" si="8"/>
        <v>0</v>
      </c>
      <c r="Y28" s="20">
        <f t="shared" si="8"/>
        <v>0</v>
      </c>
      <c r="Z28" s="20">
        <f t="shared" si="8"/>
        <v>50</v>
      </c>
      <c r="AB28" s="20">
        <v>50</v>
      </c>
      <c r="AF28" s="20">
        <f t="shared" si="9"/>
        <v>200</v>
      </c>
      <c r="AG28" s="20">
        <f t="shared" si="10"/>
        <v>0</v>
      </c>
      <c r="AH28" s="20">
        <f t="shared" si="11"/>
        <v>0</v>
      </c>
      <c r="AI28" s="20">
        <f t="shared" si="12"/>
        <v>200</v>
      </c>
      <c r="AJ28" s="20">
        <f t="shared" si="13"/>
        <v>200</v>
      </c>
      <c r="CH28" s="20" t="s">
        <v>100</v>
      </c>
      <c r="CI28" s="20" t="s">
        <v>80</v>
      </c>
      <c r="CJ28" s="20">
        <f>2*285</f>
        <v>570</v>
      </c>
      <c r="CK28" s="20">
        <f t="shared" si="7"/>
        <v>570</v>
      </c>
      <c r="CL28" s="20">
        <f t="shared" si="0"/>
        <v>550.46890267332719</v>
      </c>
    </row>
    <row r="29" spans="1:90">
      <c r="A29" s="20" t="s">
        <v>536</v>
      </c>
      <c r="B29" s="20" t="s">
        <v>117</v>
      </c>
      <c r="C29" s="20" t="s">
        <v>113</v>
      </c>
      <c r="D29" s="20">
        <v>1000</v>
      </c>
      <c r="E29" s="20">
        <v>1000</v>
      </c>
      <c r="F29" s="20">
        <v>131</v>
      </c>
      <c r="G29" s="20">
        <v>4</v>
      </c>
      <c r="H29" s="20">
        <v>3</v>
      </c>
      <c r="J29" s="20">
        <v>110</v>
      </c>
      <c r="M29" s="20">
        <v>28</v>
      </c>
      <c r="V29" s="20" t="s">
        <v>12</v>
      </c>
      <c r="W29" s="20">
        <f t="shared" si="8"/>
        <v>0</v>
      </c>
      <c r="X29" s="20">
        <f t="shared" si="8"/>
        <v>50</v>
      </c>
      <c r="Y29" s="20">
        <f t="shared" si="8"/>
        <v>0</v>
      </c>
      <c r="Z29" s="20">
        <f t="shared" si="8"/>
        <v>0</v>
      </c>
      <c r="AB29" s="20">
        <v>50</v>
      </c>
      <c r="AF29" s="20">
        <f t="shared" si="9"/>
        <v>200</v>
      </c>
      <c r="AG29" s="20">
        <f t="shared" si="10"/>
        <v>0</v>
      </c>
      <c r="AH29" s="20">
        <f t="shared" si="11"/>
        <v>0</v>
      </c>
      <c r="AI29" s="20">
        <f t="shared" si="12"/>
        <v>200</v>
      </c>
      <c r="AJ29" s="20">
        <f t="shared" si="13"/>
        <v>200</v>
      </c>
      <c r="CH29" s="20" t="s">
        <v>77</v>
      </c>
      <c r="CI29" s="20" t="s">
        <v>78</v>
      </c>
      <c r="CJ29" s="20">
        <f>1*285</f>
        <v>285</v>
      </c>
      <c r="CK29" s="20">
        <f t="shared" si="7"/>
        <v>285</v>
      </c>
      <c r="CL29" s="20">
        <f t="shared" si="0"/>
        <v>422.07069821793743</v>
      </c>
    </row>
    <row r="30" spans="1:90">
      <c r="A30" s="20" t="s">
        <v>1235</v>
      </c>
      <c r="B30" s="20" t="s">
        <v>1234</v>
      </c>
      <c r="C30" s="20" t="s">
        <v>119</v>
      </c>
      <c r="D30" s="20">
        <v>1000</v>
      </c>
      <c r="E30" s="20">
        <v>1000</v>
      </c>
      <c r="F30" s="20">
        <v>131</v>
      </c>
      <c r="G30" s="20">
        <v>4</v>
      </c>
      <c r="H30" s="20">
        <v>3</v>
      </c>
      <c r="J30" s="20">
        <v>110</v>
      </c>
      <c r="M30" s="20">
        <v>28</v>
      </c>
      <c r="W30" s="20">
        <f t="shared" si="8"/>
        <v>0</v>
      </c>
      <c r="X30" s="20">
        <f t="shared" si="8"/>
        <v>0</v>
      </c>
      <c r="Y30" s="20">
        <f t="shared" si="8"/>
        <v>0</v>
      </c>
      <c r="Z30" s="20">
        <f t="shared" si="8"/>
        <v>0</v>
      </c>
      <c r="AF30" s="20">
        <f t="shared" si="9"/>
        <v>0</v>
      </c>
      <c r="AG30" s="20">
        <f t="shared" si="10"/>
        <v>0</v>
      </c>
      <c r="AH30" s="20">
        <f t="shared" si="11"/>
        <v>0</v>
      </c>
      <c r="AI30" s="20">
        <f t="shared" si="12"/>
        <v>0</v>
      </c>
      <c r="AJ30" s="20">
        <f t="shared" si="13"/>
        <v>0</v>
      </c>
      <c r="CH30" s="20" t="s">
        <v>100</v>
      </c>
      <c r="CI30" s="20" t="s">
        <v>78</v>
      </c>
      <c r="CJ30" s="20">
        <f>1*285</f>
        <v>285</v>
      </c>
      <c r="CK30" s="20">
        <f t="shared" si="7"/>
        <v>285</v>
      </c>
      <c r="CL30" s="20">
        <f t="shared" si="0"/>
        <v>276</v>
      </c>
    </row>
    <row r="31" spans="1:90">
      <c r="A31" s="20" t="s">
        <v>536</v>
      </c>
      <c r="B31" s="20" t="s">
        <v>120</v>
      </c>
      <c r="C31" s="20" t="s">
        <v>119</v>
      </c>
      <c r="D31" s="20">
        <v>1000</v>
      </c>
      <c r="E31" s="20">
        <v>1000</v>
      </c>
      <c r="F31" s="20">
        <v>131</v>
      </c>
      <c r="G31" s="20">
        <v>4</v>
      </c>
      <c r="H31" s="20">
        <v>3</v>
      </c>
      <c r="J31" s="20">
        <v>110</v>
      </c>
      <c r="M31" s="20">
        <v>28</v>
      </c>
      <c r="W31" s="20">
        <f t="shared" si="8"/>
        <v>0</v>
      </c>
      <c r="X31" s="20">
        <f t="shared" si="8"/>
        <v>0</v>
      </c>
      <c r="Y31" s="20">
        <f t="shared" si="8"/>
        <v>0</v>
      </c>
      <c r="Z31" s="20">
        <f t="shared" si="8"/>
        <v>0</v>
      </c>
      <c r="AF31" s="20">
        <f t="shared" si="9"/>
        <v>0</v>
      </c>
      <c r="AG31" s="20">
        <f t="shared" si="10"/>
        <v>0</v>
      </c>
      <c r="AH31" s="20">
        <f t="shared" si="11"/>
        <v>0</v>
      </c>
      <c r="AI31" s="20">
        <f t="shared" si="12"/>
        <v>0</v>
      </c>
      <c r="AJ31" s="20">
        <f t="shared" si="13"/>
        <v>0</v>
      </c>
      <c r="CH31" s="20" t="s">
        <v>121</v>
      </c>
      <c r="CI31" s="20" t="s">
        <v>78</v>
      </c>
      <c r="CJ31" s="20">
        <f>1*285</f>
        <v>285</v>
      </c>
      <c r="CK31" s="20">
        <f t="shared" si="7"/>
        <v>285</v>
      </c>
      <c r="CL31" s="20">
        <f t="shared" si="0"/>
        <v>276</v>
      </c>
    </row>
    <row r="32" spans="1:90">
      <c r="A32" s="20" t="s">
        <v>536</v>
      </c>
      <c r="B32" s="20" t="s">
        <v>122</v>
      </c>
      <c r="C32" s="20" t="s">
        <v>123</v>
      </c>
      <c r="D32" s="20">
        <v>1000</v>
      </c>
      <c r="E32" s="20">
        <v>1000</v>
      </c>
      <c r="F32" s="20">
        <v>130.4</v>
      </c>
      <c r="G32" s="20">
        <v>4</v>
      </c>
      <c r="H32" s="20">
        <v>2.7</v>
      </c>
      <c r="J32" s="20">
        <v>109.4</v>
      </c>
      <c r="M32" s="20">
        <v>27.7</v>
      </c>
      <c r="W32" s="20">
        <f t="shared" si="8"/>
        <v>0</v>
      </c>
      <c r="X32" s="20">
        <f t="shared" si="8"/>
        <v>0</v>
      </c>
      <c r="Y32" s="20">
        <f t="shared" si="8"/>
        <v>0</v>
      </c>
      <c r="Z32" s="20">
        <f t="shared" si="8"/>
        <v>0</v>
      </c>
      <c r="AF32" s="20">
        <f t="shared" si="9"/>
        <v>0</v>
      </c>
      <c r="AG32" s="20">
        <f t="shared" si="10"/>
        <v>0</v>
      </c>
      <c r="AH32" s="20">
        <f t="shared" si="11"/>
        <v>0</v>
      </c>
      <c r="AI32" s="20">
        <f t="shared" si="12"/>
        <v>0</v>
      </c>
      <c r="AJ32" s="20">
        <f t="shared" si="13"/>
        <v>0</v>
      </c>
      <c r="CH32" s="20" t="s">
        <v>100</v>
      </c>
      <c r="CI32" s="20" t="s">
        <v>124</v>
      </c>
      <c r="CJ32" s="20">
        <f>(0.8+1)/2*285</f>
        <v>256.5</v>
      </c>
      <c r="CK32" s="20">
        <f t="shared" si="7"/>
        <v>256.5</v>
      </c>
      <c r="CL32" s="20">
        <f t="shared" si="0"/>
        <v>274.2</v>
      </c>
    </row>
    <row r="33" spans="1:90">
      <c r="A33" s="20" t="s">
        <v>536</v>
      </c>
      <c r="B33" s="20" t="s">
        <v>125</v>
      </c>
      <c r="C33" s="20" t="s">
        <v>123</v>
      </c>
      <c r="D33" s="20">
        <v>1000</v>
      </c>
      <c r="E33" s="20">
        <v>1000</v>
      </c>
      <c r="F33" s="20">
        <v>130.4</v>
      </c>
      <c r="G33" s="20">
        <v>4</v>
      </c>
      <c r="H33" s="20">
        <v>2.7</v>
      </c>
      <c r="J33" s="20">
        <v>109.4</v>
      </c>
      <c r="M33" s="20">
        <v>27.7</v>
      </c>
      <c r="V33" s="20" t="s">
        <v>12</v>
      </c>
      <c r="W33" s="20">
        <f t="shared" si="8"/>
        <v>0</v>
      </c>
      <c r="X33" s="20">
        <f t="shared" si="8"/>
        <v>50</v>
      </c>
      <c r="Y33" s="20">
        <f t="shared" si="8"/>
        <v>0</v>
      </c>
      <c r="Z33" s="20">
        <f t="shared" si="8"/>
        <v>0</v>
      </c>
      <c r="AB33" s="20">
        <v>50</v>
      </c>
      <c r="AF33" s="20">
        <f t="shared" si="9"/>
        <v>200</v>
      </c>
      <c r="AG33" s="20">
        <f t="shared" si="10"/>
        <v>0</v>
      </c>
      <c r="AH33" s="20">
        <f t="shared" si="11"/>
        <v>0</v>
      </c>
      <c r="AI33" s="20">
        <f t="shared" si="12"/>
        <v>200</v>
      </c>
      <c r="AJ33" s="20">
        <f t="shared" si="13"/>
        <v>200</v>
      </c>
      <c r="CH33" s="20" t="s">
        <v>126</v>
      </c>
      <c r="CI33" s="20" t="s">
        <v>127</v>
      </c>
      <c r="CJ33" s="20">
        <f>(1.4+1.5)/2*285</f>
        <v>413.25</v>
      </c>
      <c r="CK33" s="20">
        <f t="shared" si="7"/>
        <v>413.25</v>
      </c>
      <c r="CL33" s="20">
        <f t="shared" si="0"/>
        <v>420.27069821793748</v>
      </c>
    </row>
    <row r="34" spans="1:90">
      <c r="A34" s="20" t="s">
        <v>536</v>
      </c>
      <c r="B34" s="20" t="s">
        <v>128</v>
      </c>
      <c r="C34" s="20" t="s">
        <v>123</v>
      </c>
      <c r="D34" s="20">
        <v>1000</v>
      </c>
      <c r="E34" s="20">
        <v>1000</v>
      </c>
      <c r="F34" s="20">
        <v>130.4</v>
      </c>
      <c r="G34" s="20">
        <v>4</v>
      </c>
      <c r="H34" s="20">
        <v>2.7</v>
      </c>
      <c r="J34" s="20">
        <v>109.4</v>
      </c>
      <c r="M34" s="20">
        <v>27.7</v>
      </c>
      <c r="V34" s="20" t="s">
        <v>14</v>
      </c>
      <c r="W34" s="20">
        <f t="shared" si="8"/>
        <v>0</v>
      </c>
      <c r="X34" s="20">
        <f t="shared" si="8"/>
        <v>0</v>
      </c>
      <c r="Y34" s="20">
        <f t="shared" si="8"/>
        <v>0</v>
      </c>
      <c r="Z34" s="20">
        <f t="shared" si="8"/>
        <v>50</v>
      </c>
      <c r="AB34" s="20">
        <v>50</v>
      </c>
      <c r="AF34" s="20">
        <f t="shared" si="9"/>
        <v>200</v>
      </c>
      <c r="AG34" s="20">
        <f t="shared" si="10"/>
        <v>0</v>
      </c>
      <c r="AH34" s="20">
        <f t="shared" si="11"/>
        <v>0</v>
      </c>
      <c r="AI34" s="20">
        <f t="shared" si="12"/>
        <v>200</v>
      </c>
      <c r="AJ34" s="20">
        <f t="shared" si="13"/>
        <v>200</v>
      </c>
      <c r="CH34" s="20" t="s">
        <v>129</v>
      </c>
      <c r="CI34" s="20" t="s">
        <v>130</v>
      </c>
      <c r="CJ34" s="20">
        <f>(1.8+2)/2*285</f>
        <v>541.5</v>
      </c>
      <c r="CK34" s="20">
        <f t="shared" si="7"/>
        <v>541.5</v>
      </c>
      <c r="CL34" s="20">
        <f t="shared" si="0"/>
        <v>548.66890267332712</v>
      </c>
    </row>
    <row r="35" spans="1:90">
      <c r="A35" s="20" t="s">
        <v>536</v>
      </c>
      <c r="B35" s="20" t="s">
        <v>131</v>
      </c>
      <c r="C35" s="20" t="s">
        <v>132</v>
      </c>
      <c r="D35" s="20">
        <v>1000</v>
      </c>
      <c r="E35" s="20">
        <v>1000</v>
      </c>
      <c r="F35" s="20">
        <v>130</v>
      </c>
      <c r="G35" s="20">
        <v>4</v>
      </c>
      <c r="H35" s="20">
        <v>3</v>
      </c>
      <c r="J35" s="20">
        <v>109</v>
      </c>
      <c r="M35" s="20">
        <v>28</v>
      </c>
      <c r="V35" s="20" t="s">
        <v>12</v>
      </c>
      <c r="W35" s="20">
        <f t="shared" si="8"/>
        <v>0</v>
      </c>
      <c r="X35" s="20">
        <f t="shared" si="8"/>
        <v>50</v>
      </c>
      <c r="Y35" s="20">
        <f t="shared" si="8"/>
        <v>0</v>
      </c>
      <c r="Z35" s="20">
        <f t="shared" si="8"/>
        <v>0</v>
      </c>
      <c r="AB35" s="20">
        <v>50</v>
      </c>
      <c r="AF35" s="20">
        <f t="shared" si="9"/>
        <v>200</v>
      </c>
      <c r="AG35" s="20">
        <f t="shared" si="10"/>
        <v>0</v>
      </c>
      <c r="AH35" s="20">
        <f t="shared" si="11"/>
        <v>0</v>
      </c>
      <c r="AI35" s="20">
        <f t="shared" si="12"/>
        <v>200</v>
      </c>
      <c r="AJ35" s="20">
        <f t="shared" si="13"/>
        <v>200</v>
      </c>
      <c r="CH35" s="20" t="s">
        <v>77</v>
      </c>
      <c r="CI35" s="20" t="s">
        <v>127</v>
      </c>
      <c r="CJ35" s="20">
        <f>(1.4+1.5)/2*285</f>
        <v>413.25</v>
      </c>
      <c r="CK35" s="20">
        <f t="shared" si="7"/>
        <v>413.25</v>
      </c>
      <c r="CL35" s="20">
        <f t="shared" si="0"/>
        <v>420.07069821793743</v>
      </c>
    </row>
    <row r="36" spans="1:90">
      <c r="A36" s="20" t="s">
        <v>536</v>
      </c>
      <c r="B36" s="20" t="s">
        <v>133</v>
      </c>
      <c r="C36" s="20" t="s">
        <v>132</v>
      </c>
      <c r="D36" s="20">
        <v>1000</v>
      </c>
      <c r="E36" s="20">
        <v>1000</v>
      </c>
      <c r="F36" s="20">
        <v>130</v>
      </c>
      <c r="G36" s="20">
        <v>4</v>
      </c>
      <c r="H36" s="20">
        <v>3</v>
      </c>
      <c r="J36" s="20">
        <v>109</v>
      </c>
      <c r="M36" s="20">
        <v>28</v>
      </c>
      <c r="V36" s="20" t="s">
        <v>14</v>
      </c>
      <c r="W36" s="20">
        <f t="shared" si="8"/>
        <v>0</v>
      </c>
      <c r="X36" s="20">
        <f t="shared" si="8"/>
        <v>0</v>
      </c>
      <c r="Y36" s="20">
        <f t="shared" si="8"/>
        <v>0</v>
      </c>
      <c r="Z36" s="20">
        <f t="shared" si="8"/>
        <v>50</v>
      </c>
      <c r="AB36" s="20">
        <v>50</v>
      </c>
      <c r="AF36" s="20">
        <f t="shared" si="9"/>
        <v>200</v>
      </c>
      <c r="AG36" s="20">
        <f t="shared" si="10"/>
        <v>0</v>
      </c>
      <c r="AH36" s="20">
        <f t="shared" si="11"/>
        <v>0</v>
      </c>
      <c r="AI36" s="20">
        <f t="shared" si="12"/>
        <v>200</v>
      </c>
      <c r="AJ36" s="20">
        <f t="shared" si="13"/>
        <v>200</v>
      </c>
      <c r="CH36" s="20" t="s">
        <v>97</v>
      </c>
      <c r="CI36" s="20" t="s">
        <v>134</v>
      </c>
      <c r="CJ36" s="20">
        <f>(1.5+2.4)/2*285</f>
        <v>555.75</v>
      </c>
      <c r="CK36" s="20">
        <f t="shared" si="7"/>
        <v>555.75</v>
      </c>
      <c r="CL36" s="20">
        <f t="shared" si="0"/>
        <v>548.46890267332719</v>
      </c>
    </row>
    <row r="37" spans="1:90">
      <c r="A37" s="20" t="s">
        <v>536</v>
      </c>
      <c r="B37" s="20" t="s">
        <v>135</v>
      </c>
      <c r="C37" s="20" t="s">
        <v>132</v>
      </c>
      <c r="D37" s="20">
        <v>1000</v>
      </c>
      <c r="E37" s="20">
        <v>1000</v>
      </c>
      <c r="F37" s="20">
        <v>130</v>
      </c>
      <c r="G37" s="20">
        <v>4</v>
      </c>
      <c r="H37" s="20">
        <v>3</v>
      </c>
      <c r="J37" s="20">
        <v>109</v>
      </c>
      <c r="M37" s="20">
        <v>28</v>
      </c>
      <c r="W37" s="20">
        <f t="shared" si="8"/>
        <v>0</v>
      </c>
      <c r="X37" s="20">
        <f t="shared" si="8"/>
        <v>0</v>
      </c>
      <c r="Y37" s="20">
        <f t="shared" si="8"/>
        <v>0</v>
      </c>
      <c r="Z37" s="20">
        <f t="shared" si="8"/>
        <v>0</v>
      </c>
      <c r="AF37" s="20">
        <f t="shared" si="9"/>
        <v>0</v>
      </c>
      <c r="AG37" s="20">
        <f t="shared" si="10"/>
        <v>0</v>
      </c>
      <c r="AH37" s="20">
        <f t="shared" si="11"/>
        <v>0</v>
      </c>
      <c r="AI37" s="20">
        <f t="shared" si="12"/>
        <v>0</v>
      </c>
      <c r="AJ37" s="20">
        <f t="shared" si="13"/>
        <v>0</v>
      </c>
      <c r="CH37" s="20" t="s">
        <v>136</v>
      </c>
      <c r="CI37" s="20" t="s">
        <v>137</v>
      </c>
      <c r="CJ37" s="20">
        <f>(0.5+1.4)/2*285</f>
        <v>270.75</v>
      </c>
      <c r="CK37" s="20">
        <f t="shared" si="7"/>
        <v>270.75</v>
      </c>
      <c r="CL37" s="20">
        <f t="shared" si="0"/>
        <v>274</v>
      </c>
    </row>
    <row r="38" spans="1:90">
      <c r="A38" s="20" t="s">
        <v>536</v>
      </c>
      <c r="B38" s="20" t="s">
        <v>138</v>
      </c>
      <c r="C38" s="20" t="s">
        <v>139</v>
      </c>
      <c r="D38" s="20">
        <v>1000</v>
      </c>
      <c r="E38" s="20">
        <v>1000</v>
      </c>
      <c r="F38" s="20">
        <v>130</v>
      </c>
      <c r="G38" s="20">
        <v>4</v>
      </c>
      <c r="H38" s="20">
        <v>3</v>
      </c>
      <c r="J38" s="20">
        <v>109</v>
      </c>
      <c r="O38" s="20">
        <v>28</v>
      </c>
      <c r="W38" s="20">
        <f t="shared" si="8"/>
        <v>0</v>
      </c>
      <c r="X38" s="20">
        <f t="shared" si="8"/>
        <v>0</v>
      </c>
      <c r="Y38" s="20">
        <f t="shared" si="8"/>
        <v>0</v>
      </c>
      <c r="Z38" s="20">
        <f t="shared" si="8"/>
        <v>0</v>
      </c>
      <c r="AF38" s="20">
        <f t="shared" si="9"/>
        <v>0</v>
      </c>
      <c r="AG38" s="20">
        <f t="shared" si="10"/>
        <v>0</v>
      </c>
      <c r="AH38" s="20">
        <f t="shared" si="11"/>
        <v>0</v>
      </c>
      <c r="AI38" s="20">
        <f t="shared" si="12"/>
        <v>0</v>
      </c>
      <c r="AJ38" s="20">
        <f t="shared" si="13"/>
        <v>0</v>
      </c>
      <c r="CH38" s="20" t="s">
        <v>136</v>
      </c>
      <c r="CI38" s="20" t="s">
        <v>124</v>
      </c>
      <c r="CJ38" s="20">
        <f>(0.8+1)/2*285</f>
        <v>256.5</v>
      </c>
      <c r="CK38" s="20">
        <f t="shared" si="7"/>
        <v>256.5</v>
      </c>
      <c r="CL38" s="20">
        <f t="shared" si="0"/>
        <v>274</v>
      </c>
    </row>
    <row r="39" spans="1:90">
      <c r="A39" s="20" t="s">
        <v>536</v>
      </c>
      <c r="B39" s="20" t="s">
        <v>140</v>
      </c>
      <c r="C39" s="20" t="s">
        <v>141</v>
      </c>
      <c r="D39" s="20">
        <v>1000</v>
      </c>
      <c r="E39" s="20">
        <v>1000</v>
      </c>
      <c r="F39" s="20">
        <v>130</v>
      </c>
      <c r="G39" s="20">
        <v>4</v>
      </c>
      <c r="H39" s="20">
        <v>3</v>
      </c>
      <c r="J39" s="20">
        <v>109</v>
      </c>
      <c r="O39" s="20">
        <v>28</v>
      </c>
      <c r="V39" s="20" t="s">
        <v>11</v>
      </c>
      <c r="W39" s="20">
        <f t="shared" si="8"/>
        <v>50</v>
      </c>
      <c r="X39" s="20">
        <f t="shared" si="8"/>
        <v>0</v>
      </c>
      <c r="Y39" s="20">
        <f t="shared" si="8"/>
        <v>0</v>
      </c>
      <c r="Z39" s="20">
        <f t="shared" si="8"/>
        <v>0</v>
      </c>
      <c r="AB39" s="20">
        <v>50</v>
      </c>
      <c r="AF39" s="20">
        <f t="shared" si="9"/>
        <v>200</v>
      </c>
      <c r="AG39" s="20">
        <f t="shared" si="10"/>
        <v>0</v>
      </c>
      <c r="AH39" s="20">
        <f t="shared" si="11"/>
        <v>0</v>
      </c>
      <c r="AI39" s="20">
        <f t="shared" si="12"/>
        <v>200</v>
      </c>
      <c r="AJ39" s="20">
        <f t="shared" si="13"/>
        <v>200</v>
      </c>
      <c r="CH39" s="20" t="s">
        <v>142</v>
      </c>
      <c r="CI39" s="20" t="s">
        <v>143</v>
      </c>
      <c r="CJ39" s="20">
        <f>(1.8+2.1)/2*285</f>
        <v>555.75</v>
      </c>
      <c r="CK39" s="20">
        <f t="shared" si="7"/>
        <v>555.75</v>
      </c>
      <c r="CL39" s="20">
        <f t="shared" si="0"/>
        <v>551.5372454983459</v>
      </c>
    </row>
    <row r="40" spans="1:90">
      <c r="A40" s="20" t="s">
        <v>536</v>
      </c>
      <c r="B40" s="20" t="s">
        <v>144</v>
      </c>
      <c r="C40" s="20" t="s">
        <v>145</v>
      </c>
      <c r="D40" s="20">
        <v>1000</v>
      </c>
      <c r="E40" s="20">
        <v>1000</v>
      </c>
      <c r="F40" s="20">
        <v>130</v>
      </c>
      <c r="G40" s="20">
        <v>4</v>
      </c>
      <c r="H40" s="20">
        <v>3</v>
      </c>
      <c r="J40" s="20">
        <v>109</v>
      </c>
      <c r="O40" s="20">
        <v>28</v>
      </c>
      <c r="V40" s="20" t="s">
        <v>11</v>
      </c>
      <c r="W40" s="20">
        <f t="shared" si="8"/>
        <v>50</v>
      </c>
      <c r="X40" s="20">
        <f t="shared" si="8"/>
        <v>0</v>
      </c>
      <c r="Y40" s="20">
        <f t="shared" si="8"/>
        <v>0</v>
      </c>
      <c r="Z40" s="20">
        <f t="shared" si="8"/>
        <v>0</v>
      </c>
      <c r="AB40" s="20">
        <v>50</v>
      </c>
      <c r="AF40" s="20">
        <f t="shared" si="9"/>
        <v>200</v>
      </c>
      <c r="AG40" s="20">
        <f t="shared" si="10"/>
        <v>0</v>
      </c>
      <c r="AH40" s="20">
        <f t="shared" si="11"/>
        <v>0</v>
      </c>
      <c r="AI40" s="20">
        <f t="shared" si="12"/>
        <v>200</v>
      </c>
      <c r="AJ40" s="20">
        <f t="shared" si="13"/>
        <v>200</v>
      </c>
      <c r="CH40" s="20" t="s">
        <v>126</v>
      </c>
      <c r="CI40" s="20" t="s">
        <v>80</v>
      </c>
      <c r="CJ40" s="20">
        <f>2*285</f>
        <v>570</v>
      </c>
      <c r="CK40" s="20">
        <f t="shared" si="7"/>
        <v>570</v>
      </c>
      <c r="CL40" s="20">
        <f t="shared" si="0"/>
        <v>551.5372454983459</v>
      </c>
    </row>
    <row r="41" spans="1:90">
      <c r="A41" s="20" t="s">
        <v>536</v>
      </c>
      <c r="B41" s="20" t="s">
        <v>146</v>
      </c>
      <c r="C41" s="20" t="s">
        <v>145</v>
      </c>
      <c r="D41" s="20">
        <v>1000</v>
      </c>
      <c r="E41" s="20">
        <v>1000</v>
      </c>
      <c r="F41" s="20">
        <v>130</v>
      </c>
      <c r="G41" s="20">
        <v>4</v>
      </c>
      <c r="H41" s="20">
        <v>3</v>
      </c>
      <c r="J41" s="20">
        <v>109</v>
      </c>
      <c r="O41" s="20">
        <v>28</v>
      </c>
      <c r="W41" s="20">
        <f t="shared" si="8"/>
        <v>0</v>
      </c>
      <c r="X41" s="20">
        <f t="shared" si="8"/>
        <v>0</v>
      </c>
      <c r="Y41" s="20">
        <f t="shared" si="8"/>
        <v>0</v>
      </c>
      <c r="Z41" s="20">
        <f t="shared" si="8"/>
        <v>0</v>
      </c>
      <c r="AF41" s="20">
        <f t="shared" si="9"/>
        <v>0</v>
      </c>
      <c r="AG41" s="20">
        <f t="shared" si="10"/>
        <v>0</v>
      </c>
      <c r="AH41" s="20">
        <f t="shared" si="11"/>
        <v>0</v>
      </c>
      <c r="AI41" s="20">
        <f t="shared" si="12"/>
        <v>0</v>
      </c>
      <c r="AJ41" s="20">
        <f t="shared" si="13"/>
        <v>0</v>
      </c>
      <c r="CH41" s="20" t="s">
        <v>136</v>
      </c>
      <c r="CI41" s="20" t="s">
        <v>78</v>
      </c>
      <c r="CJ41" s="20">
        <f>1*285</f>
        <v>285</v>
      </c>
      <c r="CK41" s="20">
        <f t="shared" si="7"/>
        <v>285</v>
      </c>
      <c r="CL41" s="20">
        <f t="shared" si="0"/>
        <v>274</v>
      </c>
    </row>
    <row r="42" spans="1:90">
      <c r="A42" s="20" t="s">
        <v>536</v>
      </c>
      <c r="B42" s="20" t="s">
        <v>147</v>
      </c>
      <c r="C42" s="20" t="s">
        <v>96</v>
      </c>
      <c r="D42" s="20">
        <v>1000</v>
      </c>
      <c r="E42" s="20">
        <v>1000</v>
      </c>
      <c r="F42" s="20">
        <v>140</v>
      </c>
      <c r="G42" s="20">
        <v>4</v>
      </c>
      <c r="H42" s="20">
        <v>3</v>
      </c>
      <c r="I42" s="20">
        <v>2</v>
      </c>
      <c r="J42" s="20">
        <v>115</v>
      </c>
      <c r="O42" s="20">
        <v>25</v>
      </c>
      <c r="P42" s="20">
        <v>3</v>
      </c>
      <c r="Q42" s="20">
        <v>6</v>
      </c>
      <c r="V42" s="20" t="s">
        <v>11</v>
      </c>
      <c r="W42" s="20">
        <f t="shared" si="8"/>
        <v>10</v>
      </c>
      <c r="X42" s="20">
        <f t="shared" si="8"/>
        <v>0</v>
      </c>
      <c r="Y42" s="20">
        <f t="shared" si="8"/>
        <v>0</v>
      </c>
      <c r="Z42" s="20">
        <f t="shared" si="8"/>
        <v>0</v>
      </c>
      <c r="AB42" s="20">
        <v>10</v>
      </c>
      <c r="AF42" s="20">
        <f t="shared" si="9"/>
        <v>40</v>
      </c>
      <c r="AG42" s="20">
        <f t="shared" si="10"/>
        <v>0</v>
      </c>
      <c r="AH42" s="20">
        <f t="shared" si="11"/>
        <v>0</v>
      </c>
      <c r="AI42" s="20">
        <f t="shared" si="12"/>
        <v>40</v>
      </c>
      <c r="AJ42" s="20">
        <f t="shared" si="13"/>
        <v>40</v>
      </c>
      <c r="CH42" s="20" t="s">
        <v>148</v>
      </c>
      <c r="CI42" s="20" t="s">
        <v>78</v>
      </c>
      <c r="CJ42" s="20">
        <f>1*285</f>
        <v>285</v>
      </c>
      <c r="CK42" s="20">
        <f t="shared" si="7"/>
        <v>285</v>
      </c>
      <c r="CL42" s="20">
        <f t="shared" si="0"/>
        <v>353.5074490996692</v>
      </c>
    </row>
    <row r="43" spans="1:90">
      <c r="A43" s="20" t="s">
        <v>536</v>
      </c>
      <c r="B43" s="20" t="s">
        <v>149</v>
      </c>
      <c r="C43" s="20" t="s">
        <v>123</v>
      </c>
      <c r="D43" s="20">
        <v>1000</v>
      </c>
      <c r="E43" s="20">
        <v>1000</v>
      </c>
      <c r="F43" s="20">
        <v>130</v>
      </c>
      <c r="G43" s="20">
        <v>4</v>
      </c>
      <c r="H43" s="20">
        <v>3</v>
      </c>
      <c r="J43" s="20">
        <v>109</v>
      </c>
      <c r="O43" s="20">
        <v>28</v>
      </c>
      <c r="W43" s="20">
        <f t="shared" si="8"/>
        <v>0</v>
      </c>
      <c r="X43" s="20">
        <f t="shared" si="8"/>
        <v>0</v>
      </c>
      <c r="Y43" s="20">
        <f t="shared" si="8"/>
        <v>0</v>
      </c>
      <c r="Z43" s="20">
        <f t="shared" si="8"/>
        <v>0</v>
      </c>
      <c r="AF43" s="20">
        <f t="shared" si="9"/>
        <v>0</v>
      </c>
      <c r="AG43" s="20">
        <f t="shared" si="10"/>
        <v>0</v>
      </c>
      <c r="AH43" s="20">
        <f t="shared" si="11"/>
        <v>0</v>
      </c>
      <c r="AI43" s="20">
        <f t="shared" si="12"/>
        <v>0</v>
      </c>
      <c r="AJ43" s="20">
        <f t="shared" si="13"/>
        <v>0</v>
      </c>
      <c r="CH43" s="20" t="s">
        <v>136</v>
      </c>
      <c r="CI43" s="20" t="s">
        <v>78</v>
      </c>
      <c r="CJ43" s="20">
        <f>1*285</f>
        <v>285</v>
      </c>
      <c r="CK43" s="20">
        <f t="shared" si="7"/>
        <v>285</v>
      </c>
      <c r="CL43" s="20">
        <f t="shared" si="0"/>
        <v>274</v>
      </c>
    </row>
    <row r="44" spans="1:90">
      <c r="A44" s="20" t="s">
        <v>536</v>
      </c>
      <c r="B44" s="20" t="s">
        <v>150</v>
      </c>
      <c r="C44" s="20" t="s">
        <v>123</v>
      </c>
      <c r="D44" s="20">
        <v>1000</v>
      </c>
      <c r="E44" s="20">
        <v>1000</v>
      </c>
      <c r="F44" s="20">
        <v>130</v>
      </c>
      <c r="G44" s="20">
        <v>4</v>
      </c>
      <c r="H44" s="20">
        <v>3</v>
      </c>
      <c r="J44" s="20">
        <v>109</v>
      </c>
      <c r="O44" s="20">
        <v>28</v>
      </c>
      <c r="V44" s="20" t="s">
        <v>11</v>
      </c>
      <c r="W44" s="20">
        <f t="shared" si="8"/>
        <v>50</v>
      </c>
      <c r="X44" s="20">
        <f t="shared" si="8"/>
        <v>0</v>
      </c>
      <c r="Y44" s="20">
        <f t="shared" si="8"/>
        <v>0</v>
      </c>
      <c r="Z44" s="20">
        <f t="shared" si="8"/>
        <v>0</v>
      </c>
      <c r="AB44" s="20">
        <v>50</v>
      </c>
      <c r="AF44" s="20">
        <f t="shared" si="9"/>
        <v>200</v>
      </c>
      <c r="AG44" s="20">
        <f t="shared" si="10"/>
        <v>0</v>
      </c>
      <c r="AH44" s="20">
        <f t="shared" si="11"/>
        <v>0</v>
      </c>
      <c r="AI44" s="20">
        <f t="shared" si="12"/>
        <v>200</v>
      </c>
      <c r="AJ44" s="20">
        <f t="shared" si="13"/>
        <v>200</v>
      </c>
      <c r="CH44" s="20" t="s">
        <v>142</v>
      </c>
      <c r="CI44" s="20" t="s">
        <v>80</v>
      </c>
      <c r="CJ44" s="20">
        <f>2*285</f>
        <v>570</v>
      </c>
      <c r="CK44" s="20">
        <f t="shared" si="7"/>
        <v>570</v>
      </c>
      <c r="CL44" s="20">
        <f t="shared" si="0"/>
        <v>551.5372454983459</v>
      </c>
    </row>
    <row r="45" spans="1:90">
      <c r="A45" s="20" t="s">
        <v>536</v>
      </c>
      <c r="B45" s="20" t="s">
        <v>151</v>
      </c>
      <c r="C45" s="20" t="s">
        <v>113</v>
      </c>
      <c r="D45" s="20">
        <v>1000</v>
      </c>
      <c r="E45" s="20">
        <v>1000</v>
      </c>
      <c r="F45" s="20">
        <v>131</v>
      </c>
      <c r="G45" s="20">
        <v>4</v>
      </c>
      <c r="H45" s="20">
        <v>3</v>
      </c>
      <c r="J45" s="20">
        <v>109</v>
      </c>
      <c r="O45" s="20">
        <v>28</v>
      </c>
      <c r="V45" s="20" t="s">
        <v>11</v>
      </c>
      <c r="W45" s="20">
        <f t="shared" si="8"/>
        <v>50</v>
      </c>
      <c r="X45" s="20">
        <f t="shared" si="8"/>
        <v>0</v>
      </c>
      <c r="Y45" s="20">
        <f t="shared" si="8"/>
        <v>0</v>
      </c>
      <c r="Z45" s="20">
        <f t="shared" si="8"/>
        <v>0</v>
      </c>
      <c r="AB45" s="20">
        <v>50</v>
      </c>
      <c r="AF45" s="20">
        <f t="shared" si="9"/>
        <v>200</v>
      </c>
      <c r="AG45" s="20">
        <f t="shared" si="10"/>
        <v>0</v>
      </c>
      <c r="AH45" s="20">
        <f t="shared" si="11"/>
        <v>0</v>
      </c>
      <c r="AI45" s="20">
        <f t="shared" si="12"/>
        <v>200</v>
      </c>
      <c r="AJ45" s="20">
        <f t="shared" si="13"/>
        <v>200</v>
      </c>
      <c r="CH45" s="20" t="s">
        <v>142</v>
      </c>
      <c r="CI45" s="20" t="s">
        <v>80</v>
      </c>
      <c r="CJ45" s="20">
        <f>2*285</f>
        <v>570</v>
      </c>
      <c r="CK45" s="20">
        <f t="shared" si="7"/>
        <v>570</v>
      </c>
      <c r="CL45" s="20">
        <f t="shared" si="0"/>
        <v>552.5372454983459</v>
      </c>
    </row>
    <row r="46" spans="1:90">
      <c r="A46" s="20" t="s">
        <v>536</v>
      </c>
      <c r="B46" s="20" t="s">
        <v>152</v>
      </c>
      <c r="C46" s="20" t="s">
        <v>113</v>
      </c>
      <c r="D46" s="20">
        <v>1000</v>
      </c>
      <c r="E46" s="20">
        <v>1000</v>
      </c>
      <c r="F46" s="20">
        <v>131</v>
      </c>
      <c r="G46" s="20">
        <v>4</v>
      </c>
      <c r="H46" s="20">
        <v>3</v>
      </c>
      <c r="J46" s="20">
        <v>109</v>
      </c>
      <c r="O46" s="20">
        <v>28</v>
      </c>
      <c r="W46" s="20">
        <f t="shared" si="8"/>
        <v>0</v>
      </c>
      <c r="X46" s="20">
        <f t="shared" si="8"/>
        <v>0</v>
      </c>
      <c r="Y46" s="20">
        <f t="shared" si="8"/>
        <v>0</v>
      </c>
      <c r="Z46" s="20">
        <f t="shared" si="8"/>
        <v>0</v>
      </c>
      <c r="AF46" s="20">
        <f t="shared" si="9"/>
        <v>0</v>
      </c>
      <c r="AG46" s="20">
        <f t="shared" si="10"/>
        <v>0</v>
      </c>
      <c r="AH46" s="20">
        <f t="shared" si="11"/>
        <v>0</v>
      </c>
      <c r="AI46" s="20">
        <f t="shared" si="12"/>
        <v>0</v>
      </c>
      <c r="AJ46" s="20">
        <f t="shared" si="13"/>
        <v>0</v>
      </c>
      <c r="CH46" s="20" t="s">
        <v>136</v>
      </c>
      <c r="CI46" s="20" t="s">
        <v>106</v>
      </c>
      <c r="CJ46" s="20">
        <f>0.9*285</f>
        <v>256.5</v>
      </c>
      <c r="CK46" s="20">
        <f t="shared" si="7"/>
        <v>256.5</v>
      </c>
      <c r="CL46" s="20">
        <f t="shared" si="0"/>
        <v>275</v>
      </c>
    </row>
    <row r="47" spans="1:90">
      <c r="A47" s="20" t="s">
        <v>536</v>
      </c>
      <c r="B47" s="20" t="s">
        <v>1213</v>
      </c>
      <c r="C47" s="20" t="s">
        <v>153</v>
      </c>
      <c r="D47" s="20">
        <v>1000</v>
      </c>
      <c r="E47" s="20">
        <v>1000</v>
      </c>
      <c r="F47" s="20">
        <v>130</v>
      </c>
      <c r="G47" s="20">
        <v>4</v>
      </c>
      <c r="H47" s="20">
        <v>3</v>
      </c>
      <c r="J47" s="20">
        <v>109</v>
      </c>
      <c r="O47" s="20">
        <v>28</v>
      </c>
      <c r="V47" s="20" t="s">
        <v>11</v>
      </c>
      <c r="W47" s="20">
        <f t="shared" si="8"/>
        <v>50</v>
      </c>
      <c r="X47" s="20">
        <f t="shared" si="8"/>
        <v>0</v>
      </c>
      <c r="Y47" s="20">
        <f t="shared" si="8"/>
        <v>0</v>
      </c>
      <c r="Z47" s="20">
        <f t="shared" si="8"/>
        <v>0</v>
      </c>
      <c r="AB47" s="20">
        <v>50</v>
      </c>
      <c r="AF47" s="20">
        <f t="shared" si="9"/>
        <v>200</v>
      </c>
      <c r="AG47" s="20">
        <f t="shared" si="10"/>
        <v>0</v>
      </c>
      <c r="AH47" s="20">
        <f t="shared" si="11"/>
        <v>0</v>
      </c>
      <c r="AI47" s="20">
        <f t="shared" si="12"/>
        <v>200</v>
      </c>
      <c r="AJ47" s="20">
        <f t="shared" si="13"/>
        <v>200</v>
      </c>
      <c r="CH47" s="20" t="s">
        <v>90</v>
      </c>
      <c r="CI47" s="20" t="s">
        <v>80</v>
      </c>
      <c r="CJ47" s="20">
        <f>2*285</f>
        <v>570</v>
      </c>
      <c r="CK47" s="20">
        <f t="shared" si="7"/>
        <v>570</v>
      </c>
      <c r="CL47" s="20">
        <f t="shared" si="0"/>
        <v>551.5372454983459</v>
      </c>
    </row>
    <row r="48" spans="1:90">
      <c r="A48" s="20" t="s">
        <v>536</v>
      </c>
      <c r="B48" s="20" t="s">
        <v>154</v>
      </c>
      <c r="C48" s="20" t="s">
        <v>132</v>
      </c>
      <c r="D48" s="20">
        <v>1000</v>
      </c>
      <c r="E48" s="20">
        <v>1000</v>
      </c>
      <c r="F48" s="20">
        <v>130</v>
      </c>
      <c r="G48" s="20">
        <v>4</v>
      </c>
      <c r="H48" s="20">
        <v>3</v>
      </c>
      <c r="J48" s="20">
        <v>109</v>
      </c>
      <c r="O48" s="20">
        <v>28</v>
      </c>
      <c r="V48" s="20" t="s">
        <v>11</v>
      </c>
      <c r="W48" s="20">
        <f t="shared" si="8"/>
        <v>50</v>
      </c>
      <c r="X48" s="20">
        <f t="shared" si="8"/>
        <v>0</v>
      </c>
      <c r="Y48" s="20">
        <f t="shared" si="8"/>
        <v>0</v>
      </c>
      <c r="Z48" s="20">
        <f t="shared" si="8"/>
        <v>0</v>
      </c>
      <c r="AB48" s="20">
        <v>50</v>
      </c>
      <c r="AF48" s="20">
        <f t="shared" si="9"/>
        <v>200</v>
      </c>
      <c r="AG48" s="20">
        <f t="shared" si="10"/>
        <v>0</v>
      </c>
      <c r="AH48" s="20">
        <f t="shared" si="11"/>
        <v>0</v>
      </c>
      <c r="AI48" s="20">
        <f t="shared" si="12"/>
        <v>200</v>
      </c>
      <c r="AJ48" s="20">
        <f t="shared" si="13"/>
        <v>200</v>
      </c>
      <c r="CH48" s="20" t="s">
        <v>142</v>
      </c>
      <c r="CI48" s="20" t="s">
        <v>143</v>
      </c>
      <c r="CJ48" s="20">
        <f>(1.8+2.1)/2*285</f>
        <v>555.75</v>
      </c>
      <c r="CK48" s="20">
        <f t="shared" si="7"/>
        <v>555.75</v>
      </c>
      <c r="CL48" s="20">
        <f t="shared" si="0"/>
        <v>551.5372454983459</v>
      </c>
    </row>
    <row r="49" spans="1:90">
      <c r="A49" s="20" t="s">
        <v>536</v>
      </c>
      <c r="B49" s="20" t="s">
        <v>155</v>
      </c>
      <c r="C49" s="20" t="s">
        <v>156</v>
      </c>
      <c r="D49" s="20">
        <v>1000</v>
      </c>
      <c r="E49" s="20">
        <v>1000</v>
      </c>
      <c r="F49" s="20">
        <v>135</v>
      </c>
      <c r="G49" s="20">
        <v>4</v>
      </c>
      <c r="H49" s="20">
        <v>3</v>
      </c>
      <c r="I49" s="20">
        <v>1</v>
      </c>
      <c r="J49" s="20">
        <v>113</v>
      </c>
      <c r="L49" s="20">
        <v>25</v>
      </c>
      <c r="Q49" s="20">
        <v>5</v>
      </c>
      <c r="W49" s="20">
        <f t="shared" si="8"/>
        <v>0</v>
      </c>
      <c r="X49" s="20">
        <f t="shared" si="8"/>
        <v>0</v>
      </c>
      <c r="Y49" s="20">
        <f t="shared" si="8"/>
        <v>0</v>
      </c>
      <c r="Z49" s="20">
        <f t="shared" si="8"/>
        <v>0</v>
      </c>
      <c r="AF49" s="20">
        <f t="shared" si="9"/>
        <v>0</v>
      </c>
      <c r="AG49" s="20">
        <f t="shared" si="10"/>
        <v>0</v>
      </c>
      <c r="AH49" s="20">
        <f t="shared" si="11"/>
        <v>0</v>
      </c>
      <c r="AI49" s="20">
        <f t="shared" si="12"/>
        <v>0</v>
      </c>
      <c r="AJ49" s="20">
        <f t="shared" si="13"/>
        <v>0</v>
      </c>
      <c r="CH49" s="20" t="s">
        <v>157</v>
      </c>
      <c r="CI49" s="20" t="s">
        <v>158</v>
      </c>
      <c r="CJ49" s="20">
        <f>(0.9+1)/2*285</f>
        <v>270.75</v>
      </c>
      <c r="CK49" s="20">
        <f t="shared" si="7"/>
        <v>270.75</v>
      </c>
      <c r="CL49" s="20">
        <f t="shared" si="0"/>
        <v>286</v>
      </c>
    </row>
    <row r="50" spans="1:90">
      <c r="A50" s="20" t="s">
        <v>536</v>
      </c>
      <c r="B50" s="20" t="s">
        <v>159</v>
      </c>
      <c r="C50" s="20" t="s">
        <v>96</v>
      </c>
      <c r="D50" s="20">
        <v>1000</v>
      </c>
      <c r="E50" s="20">
        <v>1000</v>
      </c>
      <c r="F50" s="20">
        <v>130</v>
      </c>
      <c r="G50" s="20">
        <v>4</v>
      </c>
      <c r="H50" s="20">
        <v>3</v>
      </c>
      <c r="I50" s="20">
        <v>2</v>
      </c>
      <c r="J50" s="20">
        <v>109</v>
      </c>
      <c r="L50" s="20">
        <v>28</v>
      </c>
      <c r="Q50" s="20">
        <v>4</v>
      </c>
      <c r="W50" s="20">
        <f t="shared" si="8"/>
        <v>0</v>
      </c>
      <c r="X50" s="20">
        <f t="shared" si="8"/>
        <v>0</v>
      </c>
      <c r="Y50" s="20">
        <f t="shared" si="8"/>
        <v>0</v>
      </c>
      <c r="Z50" s="20">
        <f t="shared" si="8"/>
        <v>0</v>
      </c>
      <c r="AF50" s="20">
        <f t="shared" si="9"/>
        <v>0</v>
      </c>
      <c r="AG50" s="20">
        <f t="shared" si="10"/>
        <v>0</v>
      </c>
      <c r="AH50" s="20">
        <f t="shared" si="11"/>
        <v>0</v>
      </c>
      <c r="AI50" s="20">
        <f t="shared" si="12"/>
        <v>0</v>
      </c>
      <c r="AJ50" s="20">
        <f t="shared" si="13"/>
        <v>0</v>
      </c>
      <c r="CH50" s="20" t="s">
        <v>157</v>
      </c>
      <c r="CI50" s="20" t="s">
        <v>106</v>
      </c>
      <c r="CJ50" s="20">
        <f>0.9*285</f>
        <v>256.5</v>
      </c>
      <c r="CK50" s="20">
        <f t="shared" si="7"/>
        <v>256.5</v>
      </c>
      <c r="CL50" s="20">
        <f t="shared" si="0"/>
        <v>280</v>
      </c>
    </row>
    <row r="51" spans="1:90">
      <c r="A51" s="20" t="s">
        <v>536</v>
      </c>
      <c r="B51" s="20" t="s">
        <v>228</v>
      </c>
      <c r="C51" s="20" t="s">
        <v>96</v>
      </c>
      <c r="D51" s="20">
        <v>1000</v>
      </c>
      <c r="E51" s="20">
        <v>1000</v>
      </c>
      <c r="F51" s="20">
        <v>70</v>
      </c>
      <c r="G51" s="20">
        <v>4</v>
      </c>
      <c r="H51" s="20">
        <v>3</v>
      </c>
      <c r="J51" s="20">
        <v>52</v>
      </c>
      <c r="O51" s="20">
        <v>25</v>
      </c>
      <c r="V51" s="20" t="s">
        <v>11</v>
      </c>
      <c r="W51" s="20">
        <f t="shared" si="8"/>
        <v>25</v>
      </c>
      <c r="X51" s="20">
        <f t="shared" si="8"/>
        <v>0</v>
      </c>
      <c r="Y51" s="20">
        <f t="shared" si="8"/>
        <v>0</v>
      </c>
      <c r="Z51" s="20">
        <f t="shared" si="8"/>
        <v>0</v>
      </c>
      <c r="AB51" s="20">
        <v>25</v>
      </c>
      <c r="AF51" s="20">
        <f t="shared" si="9"/>
        <v>100</v>
      </c>
      <c r="AG51" s="20">
        <f t="shared" si="10"/>
        <v>0</v>
      </c>
      <c r="AH51" s="20">
        <f t="shared" si="11"/>
        <v>0</v>
      </c>
      <c r="AI51" s="20">
        <f t="shared" si="12"/>
        <v>100</v>
      </c>
      <c r="AJ51" s="20">
        <f t="shared" si="13"/>
        <v>100</v>
      </c>
      <c r="CH51" s="20" t="s">
        <v>182</v>
      </c>
      <c r="CI51" s="20" t="s">
        <v>78</v>
      </c>
      <c r="CJ51" s="20">
        <f>1*285</f>
        <v>285</v>
      </c>
      <c r="CK51" s="20">
        <f t="shared" si="7"/>
        <v>285</v>
      </c>
      <c r="CL51" s="20">
        <f t="shared" si="0"/>
        <v>292.76862274917295</v>
      </c>
    </row>
    <row r="53" spans="1:90">
      <c r="B53" s="20" t="s">
        <v>544</v>
      </c>
    </row>
    <row r="54" spans="1:90">
      <c r="A54" s="20" t="s">
        <v>545</v>
      </c>
      <c r="B54" s="20" t="s">
        <v>160</v>
      </c>
      <c r="C54" s="20" t="s">
        <v>156</v>
      </c>
      <c r="D54" s="20">
        <v>1000</v>
      </c>
      <c r="E54" s="20">
        <v>1000</v>
      </c>
      <c r="F54" s="20">
        <v>90</v>
      </c>
      <c r="J54" s="20">
        <v>70</v>
      </c>
      <c r="M54" s="20">
        <v>20</v>
      </c>
      <c r="V54" s="20" t="s">
        <v>11</v>
      </c>
      <c r="W54" s="20">
        <f t="shared" ref="W54:Z59" si="14">IF($V54=W$1,$AB54,0)</f>
        <v>26</v>
      </c>
      <c r="X54" s="20">
        <f t="shared" si="14"/>
        <v>0</v>
      </c>
      <c r="Y54" s="20">
        <f t="shared" si="14"/>
        <v>0</v>
      </c>
      <c r="Z54" s="20">
        <f t="shared" si="14"/>
        <v>0</v>
      </c>
      <c r="AB54" s="20">
        <v>26</v>
      </c>
      <c r="AF54" s="20">
        <f t="shared" ref="AF54" si="15">AB54*4</f>
        <v>104</v>
      </c>
      <c r="AG54" s="20">
        <f>AC54*9</f>
        <v>0</v>
      </c>
      <c r="AH54" s="20">
        <f>AE54*4</f>
        <v>0</v>
      </c>
      <c r="AI54" s="20">
        <f t="shared" ref="AI54" si="16">SUM(AF54:AH54)</f>
        <v>104</v>
      </c>
      <c r="AJ54" s="20">
        <f t="shared" ref="AJ54" si="17">SUM(AF54,AG54)</f>
        <v>104</v>
      </c>
      <c r="CH54" s="20" t="s">
        <v>77</v>
      </c>
      <c r="CI54" s="20" t="s">
        <v>78</v>
      </c>
      <c r="CJ54" s="20">
        <f>1*285</f>
        <v>285</v>
      </c>
      <c r="CK54" s="20">
        <f t="shared" si="7"/>
        <v>285</v>
      </c>
      <c r="CL54" s="20">
        <f t="shared" si="0"/>
        <v>324.31936765913986</v>
      </c>
    </row>
    <row r="55" spans="1:90">
      <c r="A55" s="20" t="s">
        <v>545</v>
      </c>
      <c r="B55" s="20" t="s">
        <v>161</v>
      </c>
      <c r="C55" s="20" t="s">
        <v>162</v>
      </c>
      <c r="D55" s="20">
        <v>1000</v>
      </c>
      <c r="E55" s="20">
        <v>1000</v>
      </c>
      <c r="F55" s="20">
        <v>90</v>
      </c>
      <c r="J55" s="20">
        <v>70</v>
      </c>
      <c r="M55" s="20">
        <v>20</v>
      </c>
      <c r="V55" s="20" t="s">
        <v>11</v>
      </c>
      <c r="W55" s="20">
        <f t="shared" si="14"/>
        <v>26</v>
      </c>
      <c r="X55" s="20">
        <f t="shared" si="14"/>
        <v>0</v>
      </c>
      <c r="Y55" s="20">
        <f t="shared" si="14"/>
        <v>0</v>
      </c>
      <c r="Z55" s="20">
        <f t="shared" si="14"/>
        <v>0</v>
      </c>
      <c r="AB55" s="20">
        <v>26</v>
      </c>
      <c r="AF55" s="20">
        <f t="shared" ref="AF55:AF59" si="18">AB55*4</f>
        <v>104</v>
      </c>
      <c r="AG55" s="20">
        <f t="shared" ref="AG55:AG59" si="19">AC55*9</f>
        <v>0</v>
      </c>
      <c r="AH55" s="20">
        <f t="shared" ref="AH55:AH59" si="20">AE55*4</f>
        <v>0</v>
      </c>
      <c r="AI55" s="20">
        <f t="shared" ref="AI55:AI59" si="21">SUM(AF55:AH55)</f>
        <v>104</v>
      </c>
      <c r="AJ55" s="20">
        <f t="shared" ref="AJ55:AJ59" si="22">SUM(AF55,AG55)</f>
        <v>104</v>
      </c>
      <c r="CH55" s="20" t="s">
        <v>77</v>
      </c>
      <c r="CI55" s="20" t="s">
        <v>78</v>
      </c>
      <c r="CJ55" s="20">
        <f>1*285</f>
        <v>285</v>
      </c>
      <c r="CK55" s="20">
        <f t="shared" si="7"/>
        <v>285</v>
      </c>
      <c r="CL55" s="20">
        <f t="shared" si="0"/>
        <v>324.31936765913986</v>
      </c>
    </row>
    <row r="56" spans="1:90">
      <c r="A56" s="20" t="s">
        <v>545</v>
      </c>
      <c r="B56" s="20" t="s">
        <v>163</v>
      </c>
      <c r="C56" s="20" t="s">
        <v>96</v>
      </c>
      <c r="D56" s="20">
        <v>1000</v>
      </c>
      <c r="E56" s="20">
        <v>1000</v>
      </c>
      <c r="F56" s="20">
        <v>77</v>
      </c>
      <c r="J56" s="20">
        <v>77</v>
      </c>
      <c r="V56" s="20" t="s">
        <v>11</v>
      </c>
      <c r="W56" s="20">
        <f t="shared" si="14"/>
        <v>25</v>
      </c>
      <c r="X56" s="20">
        <f t="shared" si="14"/>
        <v>0</v>
      </c>
      <c r="Y56" s="20">
        <f t="shared" si="14"/>
        <v>0</v>
      </c>
      <c r="Z56" s="20">
        <f t="shared" si="14"/>
        <v>0</v>
      </c>
      <c r="AB56" s="20">
        <v>25</v>
      </c>
      <c r="AF56" s="20">
        <f t="shared" si="18"/>
        <v>100</v>
      </c>
      <c r="AG56" s="20">
        <f t="shared" si="19"/>
        <v>0</v>
      </c>
      <c r="AH56" s="20">
        <f t="shared" si="20"/>
        <v>0</v>
      </c>
      <c r="AI56" s="20">
        <f t="shared" si="21"/>
        <v>100</v>
      </c>
      <c r="AJ56" s="20">
        <f t="shared" si="22"/>
        <v>100</v>
      </c>
      <c r="CH56" s="20" t="s">
        <v>164</v>
      </c>
      <c r="CI56" s="20" t="s">
        <v>78</v>
      </c>
      <c r="CJ56" s="20">
        <f>1*285</f>
        <v>285</v>
      </c>
      <c r="CK56" s="20">
        <f t="shared" si="7"/>
        <v>285</v>
      </c>
      <c r="CL56" s="20">
        <f t="shared" si="0"/>
        <v>292.76862274917295</v>
      </c>
    </row>
    <row r="57" spans="1:90">
      <c r="A57" s="20" t="s">
        <v>545</v>
      </c>
      <c r="B57" s="20" t="s">
        <v>165</v>
      </c>
      <c r="C57" s="20" t="s">
        <v>113</v>
      </c>
      <c r="D57" s="20">
        <v>1000</v>
      </c>
      <c r="E57" s="20">
        <v>1000</v>
      </c>
      <c r="F57" s="20">
        <v>77</v>
      </c>
      <c r="J57" s="20">
        <v>77</v>
      </c>
      <c r="V57" s="20" t="s">
        <v>11</v>
      </c>
      <c r="W57" s="20">
        <f t="shared" si="14"/>
        <v>25</v>
      </c>
      <c r="X57" s="20">
        <f t="shared" si="14"/>
        <v>0</v>
      </c>
      <c r="Y57" s="20">
        <f t="shared" si="14"/>
        <v>0</v>
      </c>
      <c r="Z57" s="20">
        <f t="shared" si="14"/>
        <v>0</v>
      </c>
      <c r="AB57" s="20">
        <v>25</v>
      </c>
      <c r="AF57" s="20">
        <f t="shared" si="18"/>
        <v>100</v>
      </c>
      <c r="AG57" s="20">
        <f t="shared" si="19"/>
        <v>0</v>
      </c>
      <c r="AH57" s="20">
        <f t="shared" si="20"/>
        <v>0</v>
      </c>
      <c r="AI57" s="20">
        <f t="shared" si="21"/>
        <v>100</v>
      </c>
      <c r="AJ57" s="20">
        <f t="shared" si="22"/>
        <v>100</v>
      </c>
      <c r="CH57" s="20" t="s">
        <v>166</v>
      </c>
      <c r="CI57" s="20" t="s">
        <v>78</v>
      </c>
      <c r="CJ57" s="20">
        <f>1*285</f>
        <v>285</v>
      </c>
      <c r="CK57" s="20">
        <f t="shared" si="7"/>
        <v>285</v>
      </c>
      <c r="CL57" s="20">
        <f t="shared" si="0"/>
        <v>292.76862274917295</v>
      </c>
    </row>
    <row r="58" spans="1:90">
      <c r="A58" s="20" t="s">
        <v>545</v>
      </c>
      <c r="B58" s="20" t="s">
        <v>167</v>
      </c>
      <c r="C58" s="20" t="s">
        <v>113</v>
      </c>
      <c r="D58" s="20">
        <v>1000</v>
      </c>
      <c r="E58" s="20">
        <v>1000</v>
      </c>
      <c r="F58" s="20">
        <v>90</v>
      </c>
      <c r="J58" s="20">
        <v>70</v>
      </c>
      <c r="M58" s="20">
        <v>20</v>
      </c>
      <c r="V58" s="20" t="s">
        <v>11</v>
      </c>
      <c r="W58" s="20">
        <f t="shared" si="14"/>
        <v>26</v>
      </c>
      <c r="X58" s="20">
        <f t="shared" si="14"/>
        <v>0</v>
      </c>
      <c r="Y58" s="20">
        <f t="shared" si="14"/>
        <v>0</v>
      </c>
      <c r="Z58" s="20">
        <f t="shared" si="14"/>
        <v>0</v>
      </c>
      <c r="AB58" s="20">
        <v>26</v>
      </c>
      <c r="AF58" s="20">
        <f t="shared" si="18"/>
        <v>104</v>
      </c>
      <c r="AG58" s="20">
        <f t="shared" si="19"/>
        <v>0</v>
      </c>
      <c r="AH58" s="20">
        <f t="shared" si="20"/>
        <v>0</v>
      </c>
      <c r="AI58" s="20">
        <f t="shared" si="21"/>
        <v>104</v>
      </c>
      <c r="AJ58" s="20">
        <f t="shared" si="22"/>
        <v>104</v>
      </c>
      <c r="CH58" s="20" t="s">
        <v>115</v>
      </c>
      <c r="CI58" s="20" t="s">
        <v>78</v>
      </c>
      <c r="CJ58" s="20">
        <f>1*285</f>
        <v>285</v>
      </c>
      <c r="CK58" s="20">
        <f t="shared" si="7"/>
        <v>285</v>
      </c>
      <c r="CL58" s="20">
        <f t="shared" si="0"/>
        <v>324.31936765913986</v>
      </c>
    </row>
    <row r="59" spans="1:90">
      <c r="A59" s="20" t="s">
        <v>545</v>
      </c>
      <c r="B59" s="20" t="s">
        <v>168</v>
      </c>
      <c r="C59" s="20" t="s">
        <v>123</v>
      </c>
      <c r="D59" s="20">
        <v>1000</v>
      </c>
      <c r="E59" s="20">
        <v>1000</v>
      </c>
      <c r="F59" s="20">
        <v>90.8</v>
      </c>
      <c r="J59" s="20">
        <v>70.8</v>
      </c>
      <c r="M59" s="20">
        <v>20</v>
      </c>
      <c r="V59" s="20" t="s">
        <v>11</v>
      </c>
      <c r="W59" s="20">
        <f t="shared" si="14"/>
        <v>26</v>
      </c>
      <c r="X59" s="20">
        <f t="shared" si="14"/>
        <v>0</v>
      </c>
      <c r="Y59" s="20">
        <f t="shared" si="14"/>
        <v>0</v>
      </c>
      <c r="Z59" s="20">
        <f t="shared" si="14"/>
        <v>0</v>
      </c>
      <c r="AB59" s="20">
        <v>26</v>
      </c>
      <c r="AF59" s="20">
        <f t="shared" si="18"/>
        <v>104</v>
      </c>
      <c r="AG59" s="20">
        <f t="shared" si="19"/>
        <v>0</v>
      </c>
      <c r="AH59" s="20">
        <f t="shared" si="20"/>
        <v>0</v>
      </c>
      <c r="AI59" s="20">
        <f t="shared" si="21"/>
        <v>104</v>
      </c>
      <c r="AJ59" s="20">
        <f t="shared" si="22"/>
        <v>104</v>
      </c>
      <c r="CH59" s="20" t="s">
        <v>169</v>
      </c>
      <c r="CI59" s="20" t="s">
        <v>170</v>
      </c>
      <c r="CJ59" s="20">
        <f>(1+1.2)/2*285</f>
        <v>313.5</v>
      </c>
      <c r="CK59" s="20">
        <f t="shared" si="7"/>
        <v>313.5</v>
      </c>
      <c r="CL59" s="20">
        <f t="shared" si="0"/>
        <v>325.91936765913988</v>
      </c>
    </row>
    <row r="61" spans="1:90">
      <c r="B61" s="20" t="s">
        <v>547</v>
      </c>
    </row>
    <row r="62" spans="1:90">
      <c r="A62" s="20" t="s">
        <v>547</v>
      </c>
      <c r="B62" s="20" t="s">
        <v>171</v>
      </c>
      <c r="C62" s="20" t="s">
        <v>156</v>
      </c>
      <c r="D62" s="20">
        <v>1000</v>
      </c>
      <c r="E62" s="20">
        <v>1000</v>
      </c>
      <c r="F62" s="20">
        <v>84</v>
      </c>
      <c r="G62" s="20">
        <v>20</v>
      </c>
      <c r="J62" s="20">
        <v>66</v>
      </c>
      <c r="M62" s="20">
        <v>20</v>
      </c>
      <c r="S62" s="20">
        <v>10</v>
      </c>
      <c r="V62" s="20" t="s">
        <v>11</v>
      </c>
      <c r="W62" s="20">
        <f t="shared" ref="W62:Z64" si="23">IF($V62=W$1,$AB62,0)</f>
        <v>32</v>
      </c>
      <c r="X62" s="20">
        <f t="shared" si="23"/>
        <v>0</v>
      </c>
      <c r="Y62" s="20">
        <f t="shared" si="23"/>
        <v>0</v>
      </c>
      <c r="Z62" s="20">
        <f t="shared" si="23"/>
        <v>0</v>
      </c>
      <c r="AB62" s="20">
        <v>32</v>
      </c>
      <c r="AF62" s="20">
        <f t="shared" ref="AF62:AF64" si="24">AB62*4</f>
        <v>128</v>
      </c>
      <c r="AG62" s="20">
        <f t="shared" ref="AG62:AG64" si="25">AC62*9</f>
        <v>0</v>
      </c>
      <c r="AH62" s="20">
        <f t="shared" ref="AH62:AH64" si="26">AE62*4</f>
        <v>0</v>
      </c>
      <c r="AI62" s="20">
        <f t="shared" ref="AI62:AI64" si="27">SUM(AF62:AH62)</f>
        <v>128</v>
      </c>
      <c r="AJ62" s="20">
        <f t="shared" ref="AJ62:AJ64" si="28">SUM(AF62,AG62)</f>
        <v>128</v>
      </c>
      <c r="CH62" s="20" t="s">
        <v>77</v>
      </c>
      <c r="CI62" s="20" t="s">
        <v>78</v>
      </c>
      <c r="CJ62" s="20">
        <f>1*285</f>
        <v>285</v>
      </c>
      <c r="CK62" s="20">
        <f t="shared" si="7"/>
        <v>285</v>
      </c>
      <c r="CL62" s="20">
        <f t="shared" si="0"/>
        <v>377.62383711894137</v>
      </c>
    </row>
    <row r="63" spans="1:90">
      <c r="A63" s="20" t="s">
        <v>547</v>
      </c>
      <c r="B63" s="20" t="s">
        <v>172</v>
      </c>
      <c r="C63" s="20" t="s">
        <v>96</v>
      </c>
      <c r="D63" s="20">
        <v>1000</v>
      </c>
      <c r="E63" s="20">
        <v>1000</v>
      </c>
      <c r="F63" s="20">
        <v>60</v>
      </c>
      <c r="G63" s="20">
        <v>25</v>
      </c>
      <c r="I63" s="20">
        <v>2</v>
      </c>
      <c r="J63" s="20">
        <v>49</v>
      </c>
      <c r="M63" s="20">
        <v>25</v>
      </c>
      <c r="S63" s="20">
        <v>6.5</v>
      </c>
      <c r="V63" s="20" t="s">
        <v>11</v>
      </c>
      <c r="W63" s="20">
        <f t="shared" si="23"/>
        <v>23.5</v>
      </c>
      <c r="X63" s="20">
        <f t="shared" si="23"/>
        <v>0</v>
      </c>
      <c r="Y63" s="20">
        <f t="shared" si="23"/>
        <v>0</v>
      </c>
      <c r="Z63" s="20">
        <f t="shared" si="23"/>
        <v>0</v>
      </c>
      <c r="AB63" s="20">
        <v>23.5</v>
      </c>
      <c r="AF63" s="20">
        <f t="shared" si="24"/>
        <v>94</v>
      </c>
      <c r="AG63" s="20">
        <f t="shared" si="25"/>
        <v>0</v>
      </c>
      <c r="AH63" s="20">
        <f t="shared" si="26"/>
        <v>0</v>
      </c>
      <c r="AI63" s="20">
        <f t="shared" si="27"/>
        <v>94</v>
      </c>
      <c r="AJ63" s="20">
        <f t="shared" si="28"/>
        <v>94</v>
      </c>
      <c r="CH63" s="20" t="s">
        <v>115</v>
      </c>
      <c r="CI63" s="20" t="s">
        <v>78</v>
      </c>
      <c r="CJ63" s="20">
        <f>1*285</f>
        <v>285</v>
      </c>
      <c r="CK63" s="20">
        <f t="shared" si="7"/>
        <v>285</v>
      </c>
      <c r="CL63" s="20">
        <f t="shared" si="0"/>
        <v>297.94250538422256</v>
      </c>
    </row>
    <row r="64" spans="1:90">
      <c r="A64" s="20" t="s">
        <v>547</v>
      </c>
      <c r="B64" s="20" t="s">
        <v>173</v>
      </c>
      <c r="C64" s="20" t="s">
        <v>113</v>
      </c>
      <c r="D64" s="20">
        <v>1000</v>
      </c>
      <c r="E64" s="20">
        <v>1000</v>
      </c>
      <c r="F64" s="20">
        <v>77.5</v>
      </c>
      <c r="G64" s="20">
        <v>30</v>
      </c>
      <c r="J64" s="20">
        <v>59</v>
      </c>
      <c r="M64" s="20">
        <v>48.5</v>
      </c>
      <c r="V64" s="20" t="s">
        <v>11</v>
      </c>
      <c r="W64" s="20">
        <f t="shared" si="23"/>
        <v>14.5</v>
      </c>
      <c r="X64" s="20">
        <f t="shared" si="23"/>
        <v>0</v>
      </c>
      <c r="Y64" s="20">
        <f t="shared" si="23"/>
        <v>0</v>
      </c>
      <c r="Z64" s="20">
        <f t="shared" si="23"/>
        <v>0</v>
      </c>
      <c r="AB64" s="20">
        <v>14.5</v>
      </c>
      <c r="AF64" s="20">
        <f t="shared" si="24"/>
        <v>58</v>
      </c>
      <c r="AG64" s="20">
        <f t="shared" si="25"/>
        <v>0</v>
      </c>
      <c r="AH64" s="20">
        <f t="shared" si="26"/>
        <v>0</v>
      </c>
      <c r="AI64" s="20">
        <f t="shared" si="27"/>
        <v>58</v>
      </c>
      <c r="AJ64" s="20">
        <f t="shared" si="28"/>
        <v>58</v>
      </c>
      <c r="CH64" s="20" t="s">
        <v>115</v>
      </c>
      <c r="CI64" s="20" t="s">
        <v>78</v>
      </c>
      <c r="CJ64" s="20">
        <f>1*285</f>
        <v>285</v>
      </c>
      <c r="CK64" s="20">
        <f t="shared" si="7"/>
        <v>285</v>
      </c>
      <c r="CL64" s="20">
        <f t="shared" si="0"/>
        <v>295.48580119452032</v>
      </c>
    </row>
    <row r="66" spans="1:90">
      <c r="B66" s="20" t="s">
        <v>548</v>
      </c>
    </row>
    <row r="67" spans="1:90">
      <c r="A67" s="20" t="s">
        <v>549</v>
      </c>
      <c r="B67" s="20" t="s">
        <v>174</v>
      </c>
      <c r="C67" s="20" t="s">
        <v>141</v>
      </c>
      <c r="D67" s="20">
        <v>1000</v>
      </c>
      <c r="E67" s="20">
        <v>1000</v>
      </c>
      <c r="F67" s="20">
        <v>45</v>
      </c>
      <c r="G67" s="20">
        <v>17</v>
      </c>
      <c r="I67" s="20">
        <v>5</v>
      </c>
      <c r="J67" s="20">
        <v>37</v>
      </c>
      <c r="O67" s="20">
        <v>20</v>
      </c>
      <c r="S67" s="20">
        <v>10</v>
      </c>
      <c r="V67" s="20" t="s">
        <v>11</v>
      </c>
      <c r="W67" s="20">
        <f t="shared" ref="W67:Z84" si="29">IF($V67=W$1,$AB67,0)</f>
        <v>50</v>
      </c>
      <c r="X67" s="20">
        <f t="shared" si="29"/>
        <v>0</v>
      </c>
      <c r="Y67" s="20">
        <f t="shared" si="29"/>
        <v>0</v>
      </c>
      <c r="Z67" s="20">
        <f t="shared" si="29"/>
        <v>0</v>
      </c>
      <c r="AB67" s="20">
        <v>50</v>
      </c>
      <c r="AF67" s="20">
        <f t="shared" ref="AF67:AF99" si="30">AB67*4</f>
        <v>200</v>
      </c>
      <c r="AG67" s="20">
        <f t="shared" ref="AG67:AG99" si="31">AC67*9</f>
        <v>0</v>
      </c>
      <c r="AH67" s="20">
        <f t="shared" ref="AH67:AH99" si="32">AE67*4</f>
        <v>0</v>
      </c>
      <c r="AI67" s="20">
        <f t="shared" ref="AI67:AI99" si="33">SUM(AF67:AH67)</f>
        <v>200</v>
      </c>
      <c r="AJ67" s="20">
        <f t="shared" ref="AJ67:AJ99" si="34">SUM(AF67,AG67)</f>
        <v>200</v>
      </c>
      <c r="CH67" s="20" t="s">
        <v>175</v>
      </c>
      <c r="CI67" s="20" t="s">
        <v>176</v>
      </c>
      <c r="CJ67" s="20">
        <f>(1.3+1.7)/2*285</f>
        <v>427.5</v>
      </c>
      <c r="CK67" s="20">
        <f t="shared" si="7"/>
        <v>427.5</v>
      </c>
      <c r="CL67" s="20">
        <f t="shared" si="0"/>
        <v>411.5372454983459</v>
      </c>
    </row>
    <row r="68" spans="1:90">
      <c r="A68" s="20" t="s">
        <v>549</v>
      </c>
      <c r="B68" s="20" t="s">
        <v>177</v>
      </c>
      <c r="C68" s="20" t="s">
        <v>141</v>
      </c>
      <c r="D68" s="20">
        <v>1000</v>
      </c>
      <c r="E68" s="20">
        <v>1000</v>
      </c>
      <c r="F68" s="20">
        <v>45</v>
      </c>
      <c r="G68" s="20">
        <v>17</v>
      </c>
      <c r="I68" s="20">
        <v>5</v>
      </c>
      <c r="J68" s="20">
        <v>37</v>
      </c>
      <c r="O68" s="20">
        <v>20</v>
      </c>
      <c r="S68" s="20">
        <v>10</v>
      </c>
      <c r="V68" s="20" t="s">
        <v>12</v>
      </c>
      <c r="W68" s="20">
        <f t="shared" si="29"/>
        <v>0</v>
      </c>
      <c r="X68" s="20">
        <f t="shared" si="29"/>
        <v>50</v>
      </c>
      <c r="Y68" s="20">
        <f t="shared" si="29"/>
        <v>0</v>
      </c>
      <c r="Z68" s="20">
        <f t="shared" si="29"/>
        <v>0</v>
      </c>
      <c r="AB68" s="20">
        <v>50</v>
      </c>
      <c r="AF68" s="20">
        <f t="shared" si="30"/>
        <v>200</v>
      </c>
      <c r="AG68" s="20">
        <f t="shared" si="31"/>
        <v>0</v>
      </c>
      <c r="AH68" s="20">
        <f t="shared" si="32"/>
        <v>0</v>
      </c>
      <c r="AI68" s="20">
        <f t="shared" si="33"/>
        <v>200</v>
      </c>
      <c r="AJ68" s="20">
        <f t="shared" si="34"/>
        <v>200</v>
      </c>
      <c r="CH68" s="20" t="s">
        <v>175</v>
      </c>
      <c r="CI68" s="20" t="s">
        <v>158</v>
      </c>
      <c r="CJ68" s="20">
        <f>(0.9+1)/2*285</f>
        <v>270.75</v>
      </c>
      <c r="CK68" s="20">
        <f t="shared" si="7"/>
        <v>270.75</v>
      </c>
      <c r="CL68" s="20">
        <f t="shared" si="0"/>
        <v>280.07069821793743</v>
      </c>
    </row>
    <row r="69" spans="1:90">
      <c r="A69" s="20" t="s">
        <v>549</v>
      </c>
      <c r="B69" s="20" t="s">
        <v>178</v>
      </c>
      <c r="C69" s="20" t="s">
        <v>141</v>
      </c>
      <c r="D69" s="20">
        <v>1000</v>
      </c>
      <c r="E69" s="20">
        <v>1000</v>
      </c>
      <c r="F69" s="20">
        <v>45</v>
      </c>
      <c r="G69" s="20">
        <v>25</v>
      </c>
      <c r="I69" s="20">
        <v>5</v>
      </c>
      <c r="J69" s="20">
        <v>45</v>
      </c>
      <c r="O69" s="20">
        <v>20</v>
      </c>
      <c r="S69" s="20">
        <v>10</v>
      </c>
      <c r="V69" s="20" t="s">
        <v>13</v>
      </c>
      <c r="W69" s="20">
        <f t="shared" si="29"/>
        <v>0</v>
      </c>
      <c r="X69" s="20">
        <f t="shared" si="29"/>
        <v>0</v>
      </c>
      <c r="Y69" s="20">
        <f t="shared" si="29"/>
        <v>50</v>
      </c>
      <c r="Z69" s="20">
        <f t="shared" si="29"/>
        <v>0</v>
      </c>
      <c r="AB69" s="20">
        <v>50</v>
      </c>
      <c r="AF69" s="20">
        <f t="shared" si="30"/>
        <v>200</v>
      </c>
      <c r="AG69" s="20">
        <f t="shared" si="31"/>
        <v>0</v>
      </c>
      <c r="AH69" s="20">
        <f t="shared" si="32"/>
        <v>0</v>
      </c>
      <c r="AI69" s="20">
        <f t="shared" si="33"/>
        <v>200</v>
      </c>
      <c r="AJ69" s="20">
        <f t="shared" si="34"/>
        <v>200</v>
      </c>
      <c r="CH69" s="20" t="s">
        <v>179</v>
      </c>
      <c r="CI69" s="20" t="s">
        <v>180</v>
      </c>
      <c r="CJ69" s="20">
        <f>(1.5+1.8)/2*285</f>
        <v>470.25</v>
      </c>
      <c r="CK69" s="20">
        <f t="shared" si="7"/>
        <v>470.25</v>
      </c>
      <c r="CL69" s="20">
        <f t="shared" si="0"/>
        <v>478.62306933946763</v>
      </c>
    </row>
    <row r="70" spans="1:90">
      <c r="A70" s="20" t="s">
        <v>549</v>
      </c>
      <c r="B70" s="20" t="s">
        <v>181</v>
      </c>
      <c r="C70" s="20" t="s">
        <v>139</v>
      </c>
      <c r="D70" s="20">
        <v>1000</v>
      </c>
      <c r="E70" s="20">
        <v>1000</v>
      </c>
      <c r="F70" s="20">
        <v>35</v>
      </c>
      <c r="G70" s="20">
        <v>20</v>
      </c>
      <c r="H70" s="20">
        <v>5</v>
      </c>
      <c r="I70" s="20">
        <v>3</v>
      </c>
      <c r="J70" s="20">
        <v>28</v>
      </c>
      <c r="O70" s="20">
        <v>20</v>
      </c>
      <c r="P70" s="20">
        <v>5</v>
      </c>
      <c r="S70" s="20">
        <v>10</v>
      </c>
      <c r="V70" s="20" t="s">
        <v>11</v>
      </c>
      <c r="W70" s="20">
        <f t="shared" si="29"/>
        <v>100</v>
      </c>
      <c r="X70" s="20">
        <f t="shared" si="29"/>
        <v>0</v>
      </c>
      <c r="Y70" s="20">
        <f t="shared" si="29"/>
        <v>0</v>
      </c>
      <c r="Z70" s="20">
        <f t="shared" si="29"/>
        <v>0</v>
      </c>
      <c r="AB70" s="20">
        <v>100</v>
      </c>
      <c r="AF70" s="20">
        <f t="shared" si="30"/>
        <v>400</v>
      </c>
      <c r="AG70" s="20">
        <f t="shared" si="31"/>
        <v>0</v>
      </c>
      <c r="AH70" s="20">
        <f t="shared" si="32"/>
        <v>0</v>
      </c>
      <c r="AI70" s="20">
        <f t="shared" si="33"/>
        <v>400</v>
      </c>
      <c r="AJ70" s="20">
        <f t="shared" si="34"/>
        <v>400</v>
      </c>
      <c r="CH70" s="20" t="s">
        <v>182</v>
      </c>
      <c r="CI70" s="20" t="s">
        <v>183</v>
      </c>
      <c r="CJ70" s="20">
        <f>(2.4+2.8)/2*285</f>
        <v>740.99999999999989</v>
      </c>
      <c r="CK70" s="20">
        <f t="shared" si="7"/>
        <v>740.99999999999989</v>
      </c>
      <c r="CL70" s="20">
        <f t="shared" si="0"/>
        <v>681.07449099669179</v>
      </c>
    </row>
    <row r="71" spans="1:90">
      <c r="A71" s="20" t="s">
        <v>549</v>
      </c>
      <c r="B71" s="20" t="s">
        <v>184</v>
      </c>
      <c r="C71" s="20" t="s">
        <v>99</v>
      </c>
      <c r="D71" s="20">
        <v>1000</v>
      </c>
      <c r="E71" s="20">
        <v>1000</v>
      </c>
      <c r="F71" s="20">
        <v>35</v>
      </c>
      <c r="G71" s="20">
        <v>20</v>
      </c>
      <c r="J71" s="20">
        <v>35</v>
      </c>
      <c r="M71" s="20">
        <v>20</v>
      </c>
      <c r="V71" s="20" t="s">
        <v>11</v>
      </c>
      <c r="W71" s="20">
        <f t="shared" si="29"/>
        <v>43</v>
      </c>
      <c r="X71" s="20">
        <f t="shared" si="29"/>
        <v>0</v>
      </c>
      <c r="Y71" s="20">
        <f t="shared" si="29"/>
        <v>0</v>
      </c>
      <c r="Z71" s="20">
        <f t="shared" si="29"/>
        <v>0</v>
      </c>
      <c r="AB71" s="20">
        <v>43</v>
      </c>
      <c r="AF71" s="20">
        <f t="shared" si="30"/>
        <v>172</v>
      </c>
      <c r="AG71" s="20">
        <f t="shared" si="31"/>
        <v>0</v>
      </c>
      <c r="AH71" s="20">
        <f t="shared" si="32"/>
        <v>0</v>
      </c>
      <c r="AI71" s="20">
        <f t="shared" si="33"/>
        <v>172</v>
      </c>
      <c r="AJ71" s="20">
        <f t="shared" si="34"/>
        <v>172</v>
      </c>
      <c r="CH71" s="20" t="s">
        <v>90</v>
      </c>
      <c r="CI71" s="20" t="s">
        <v>185</v>
      </c>
      <c r="CJ71" s="20">
        <f>(1+1.6)/2*285</f>
        <v>370.5</v>
      </c>
      <c r="CK71" s="20">
        <f t="shared" si="7"/>
        <v>370.5</v>
      </c>
      <c r="CL71" s="20">
        <f t="shared" si="0"/>
        <v>348.68203112857748</v>
      </c>
    </row>
    <row r="72" spans="1:90">
      <c r="A72" s="20" t="s">
        <v>549</v>
      </c>
      <c r="B72" s="20" t="s">
        <v>186</v>
      </c>
      <c r="C72" s="20" t="s">
        <v>156</v>
      </c>
      <c r="D72" s="20">
        <v>1000</v>
      </c>
      <c r="E72" s="20">
        <v>1000</v>
      </c>
      <c r="F72" s="20">
        <v>35</v>
      </c>
      <c r="G72" s="20">
        <v>20</v>
      </c>
      <c r="J72" s="20">
        <v>35</v>
      </c>
      <c r="M72" s="20">
        <v>20</v>
      </c>
      <c r="V72" s="20" t="s">
        <v>11</v>
      </c>
      <c r="W72" s="20">
        <f t="shared" si="29"/>
        <v>43</v>
      </c>
      <c r="X72" s="20">
        <f t="shared" si="29"/>
        <v>0</v>
      </c>
      <c r="Y72" s="20">
        <f t="shared" si="29"/>
        <v>0</v>
      </c>
      <c r="Z72" s="20">
        <f t="shared" si="29"/>
        <v>0</v>
      </c>
      <c r="AB72" s="20">
        <v>43</v>
      </c>
      <c r="AF72" s="20">
        <f t="shared" si="30"/>
        <v>172</v>
      </c>
      <c r="AG72" s="20">
        <f t="shared" si="31"/>
        <v>0</v>
      </c>
      <c r="AH72" s="20">
        <f t="shared" si="32"/>
        <v>0</v>
      </c>
      <c r="AI72" s="20">
        <f t="shared" si="33"/>
        <v>172</v>
      </c>
      <c r="AJ72" s="20">
        <f t="shared" si="34"/>
        <v>172</v>
      </c>
      <c r="CH72" s="20" t="s">
        <v>77</v>
      </c>
      <c r="CI72" s="20" t="s">
        <v>78</v>
      </c>
      <c r="CJ72" s="20">
        <f>1*285</f>
        <v>285</v>
      </c>
      <c r="CK72" s="20">
        <f t="shared" si="7"/>
        <v>285</v>
      </c>
      <c r="CL72" s="20">
        <f t="shared" ref="CL72:CL135" si="35">SUM(F72:S72)+T72/T$3+SUMPRODUCT(W72:AA72,1/W$3:AA$3)*1000+SUMPRODUCT(AM72:BF72,1/AM$3:BF$3)+SUMPRODUCT(BZ72:CB72,1/BZ$3:CB$3)+SUMPRODUCT(CF72:CG72,1/CF$3:CG$3)*1000</f>
        <v>348.68203112857748</v>
      </c>
    </row>
    <row r="73" spans="1:90">
      <c r="A73" s="20" t="s">
        <v>549</v>
      </c>
      <c r="B73" s="20" t="s">
        <v>187</v>
      </c>
      <c r="C73" s="20" t="s">
        <v>156</v>
      </c>
      <c r="D73" s="20">
        <v>1000</v>
      </c>
      <c r="E73" s="20">
        <v>1000</v>
      </c>
      <c r="F73" s="20">
        <v>35</v>
      </c>
      <c r="G73" s="20">
        <v>20</v>
      </c>
      <c r="J73" s="20">
        <v>35</v>
      </c>
      <c r="M73" s="20">
        <v>20</v>
      </c>
      <c r="V73" s="20" t="s">
        <v>11</v>
      </c>
      <c r="W73" s="20">
        <f t="shared" si="29"/>
        <v>75</v>
      </c>
      <c r="X73" s="20">
        <f t="shared" si="29"/>
        <v>0</v>
      </c>
      <c r="Y73" s="20">
        <f t="shared" si="29"/>
        <v>0</v>
      </c>
      <c r="Z73" s="20">
        <f t="shared" si="29"/>
        <v>0</v>
      </c>
      <c r="AB73" s="20">
        <v>75</v>
      </c>
      <c r="AF73" s="20">
        <f t="shared" si="30"/>
        <v>300</v>
      </c>
      <c r="AG73" s="20">
        <f t="shared" si="31"/>
        <v>0</v>
      </c>
      <c r="AH73" s="20">
        <f t="shared" si="32"/>
        <v>0</v>
      </c>
      <c r="AI73" s="20">
        <f t="shared" si="33"/>
        <v>300</v>
      </c>
      <c r="AJ73" s="20">
        <f t="shared" si="34"/>
        <v>300</v>
      </c>
      <c r="CH73" s="20" t="s">
        <v>77</v>
      </c>
      <c r="CI73" s="20" t="s">
        <v>80</v>
      </c>
      <c r="CJ73" s="20">
        <f>2*285</f>
        <v>570</v>
      </c>
      <c r="CK73" s="20">
        <f t="shared" ref="CK73:CK136" si="36">CJ73*D73/1000</f>
        <v>570</v>
      </c>
      <c r="CL73" s="20">
        <f t="shared" si="35"/>
        <v>526.30586824751879</v>
      </c>
    </row>
    <row r="74" spans="1:90">
      <c r="A74" s="20" t="s">
        <v>549</v>
      </c>
      <c r="B74" s="20" t="s">
        <v>188</v>
      </c>
      <c r="C74" s="20" t="s">
        <v>156</v>
      </c>
      <c r="D74" s="20">
        <v>1000</v>
      </c>
      <c r="E74" s="20">
        <v>1000</v>
      </c>
      <c r="F74" s="20">
        <v>40</v>
      </c>
      <c r="G74" s="20">
        <v>35</v>
      </c>
      <c r="J74" s="20">
        <v>40</v>
      </c>
      <c r="M74" s="20">
        <v>20</v>
      </c>
      <c r="S74" s="20">
        <v>8</v>
      </c>
      <c r="V74" s="20" t="s">
        <v>11</v>
      </c>
      <c r="W74" s="20">
        <f t="shared" si="29"/>
        <v>50</v>
      </c>
      <c r="X74" s="20">
        <f t="shared" si="29"/>
        <v>0</v>
      </c>
      <c r="Y74" s="20">
        <f t="shared" si="29"/>
        <v>0</v>
      </c>
      <c r="Z74" s="20">
        <f t="shared" si="29"/>
        <v>0</v>
      </c>
      <c r="AB74" s="20">
        <v>50</v>
      </c>
      <c r="AF74" s="20">
        <f t="shared" si="30"/>
        <v>200</v>
      </c>
      <c r="AG74" s="20">
        <f t="shared" si="31"/>
        <v>0</v>
      </c>
      <c r="AH74" s="20">
        <f t="shared" si="32"/>
        <v>0</v>
      </c>
      <c r="AI74" s="20">
        <f t="shared" si="33"/>
        <v>200</v>
      </c>
      <c r="AJ74" s="20">
        <f t="shared" si="34"/>
        <v>200</v>
      </c>
      <c r="CH74" s="20" t="s">
        <v>90</v>
      </c>
      <c r="CI74" s="20" t="s">
        <v>80</v>
      </c>
      <c r="CJ74" s="20">
        <f>2*285</f>
        <v>570</v>
      </c>
      <c r="CK74" s="20">
        <f t="shared" si="36"/>
        <v>570</v>
      </c>
      <c r="CL74" s="20">
        <f t="shared" si="35"/>
        <v>420.5372454983459</v>
      </c>
    </row>
    <row r="75" spans="1:90">
      <c r="A75" s="20" t="s">
        <v>549</v>
      </c>
      <c r="B75" s="20" t="s">
        <v>189</v>
      </c>
      <c r="C75" s="20" t="s">
        <v>156</v>
      </c>
      <c r="D75" s="20">
        <v>1000</v>
      </c>
      <c r="E75" s="20">
        <v>1000</v>
      </c>
      <c r="F75" s="20">
        <v>40</v>
      </c>
      <c r="G75" s="20">
        <v>35</v>
      </c>
      <c r="J75" s="20">
        <v>40</v>
      </c>
      <c r="M75" s="20">
        <v>20</v>
      </c>
      <c r="S75" s="20">
        <v>8</v>
      </c>
      <c r="V75" s="20" t="s">
        <v>11</v>
      </c>
      <c r="W75" s="20">
        <f t="shared" si="29"/>
        <v>100</v>
      </c>
      <c r="X75" s="20">
        <f t="shared" si="29"/>
        <v>0</v>
      </c>
      <c r="Y75" s="20">
        <f t="shared" si="29"/>
        <v>0</v>
      </c>
      <c r="Z75" s="20">
        <f t="shared" si="29"/>
        <v>0</v>
      </c>
      <c r="AB75" s="20">
        <v>100</v>
      </c>
      <c r="AF75" s="20">
        <f t="shared" si="30"/>
        <v>400</v>
      </c>
      <c r="AG75" s="20">
        <f t="shared" si="31"/>
        <v>0</v>
      </c>
      <c r="AH75" s="20">
        <f t="shared" si="32"/>
        <v>0</v>
      </c>
      <c r="AI75" s="20">
        <f t="shared" si="33"/>
        <v>400</v>
      </c>
      <c r="AJ75" s="20">
        <f t="shared" si="34"/>
        <v>400</v>
      </c>
      <c r="CH75" s="20" t="s">
        <v>90</v>
      </c>
      <c r="CI75" s="20" t="s">
        <v>190</v>
      </c>
      <c r="CJ75" s="20">
        <f>3*285</f>
        <v>855</v>
      </c>
      <c r="CK75" s="20">
        <f t="shared" si="36"/>
        <v>855</v>
      </c>
      <c r="CL75" s="20">
        <f t="shared" si="35"/>
        <v>698.07449099669179</v>
      </c>
    </row>
    <row r="76" spans="1:90">
      <c r="A76" s="20" t="s">
        <v>549</v>
      </c>
      <c r="B76" s="20" t="s">
        <v>191</v>
      </c>
      <c r="C76" s="20" t="s">
        <v>156</v>
      </c>
      <c r="D76" s="20">
        <v>1000</v>
      </c>
      <c r="E76" s="20">
        <v>1000</v>
      </c>
      <c r="F76" s="20">
        <v>50</v>
      </c>
      <c r="G76" s="20">
        <v>30</v>
      </c>
      <c r="H76" s="20">
        <v>5</v>
      </c>
      <c r="I76" s="20">
        <v>3</v>
      </c>
      <c r="J76" s="20">
        <v>48</v>
      </c>
      <c r="M76" s="20">
        <v>20</v>
      </c>
      <c r="S76" s="20">
        <v>10</v>
      </c>
      <c r="V76" s="20" t="s">
        <v>11</v>
      </c>
      <c r="W76" s="20">
        <f t="shared" si="29"/>
        <v>125</v>
      </c>
      <c r="X76" s="20">
        <f t="shared" si="29"/>
        <v>0</v>
      </c>
      <c r="Y76" s="20">
        <f t="shared" si="29"/>
        <v>0</v>
      </c>
      <c r="Z76" s="20">
        <f t="shared" si="29"/>
        <v>0</v>
      </c>
      <c r="AB76" s="20">
        <v>125</v>
      </c>
      <c r="AF76" s="20">
        <f t="shared" si="30"/>
        <v>500</v>
      </c>
      <c r="AG76" s="20">
        <f t="shared" si="31"/>
        <v>0</v>
      </c>
      <c r="AH76" s="20">
        <f t="shared" si="32"/>
        <v>0</v>
      </c>
      <c r="AI76" s="20">
        <f t="shared" si="33"/>
        <v>500</v>
      </c>
      <c r="AJ76" s="20">
        <f t="shared" si="34"/>
        <v>500</v>
      </c>
      <c r="CH76" s="20" t="s">
        <v>192</v>
      </c>
      <c r="CI76" s="20" t="s">
        <v>190</v>
      </c>
      <c r="CJ76" s="20">
        <f>3*285</f>
        <v>855</v>
      </c>
      <c r="CK76" s="20">
        <f t="shared" si="36"/>
        <v>855</v>
      </c>
      <c r="CL76" s="20">
        <f t="shared" si="35"/>
        <v>859.84311374586468</v>
      </c>
    </row>
    <row r="77" spans="1:90">
      <c r="A77" s="20" t="s">
        <v>549</v>
      </c>
      <c r="B77" s="20" t="s">
        <v>193</v>
      </c>
      <c r="C77" s="20" t="s">
        <v>162</v>
      </c>
      <c r="D77" s="20">
        <v>1000</v>
      </c>
      <c r="E77" s="20">
        <v>1000</v>
      </c>
      <c r="F77" s="20">
        <v>35</v>
      </c>
      <c r="G77" s="20">
        <v>20</v>
      </c>
      <c r="J77" s="20">
        <v>35</v>
      </c>
      <c r="M77" s="20">
        <v>20</v>
      </c>
      <c r="V77" s="20" t="s">
        <v>11</v>
      </c>
      <c r="W77" s="20">
        <f t="shared" si="29"/>
        <v>43</v>
      </c>
      <c r="X77" s="20">
        <f t="shared" si="29"/>
        <v>0</v>
      </c>
      <c r="Y77" s="20">
        <f t="shared" si="29"/>
        <v>0</v>
      </c>
      <c r="Z77" s="20">
        <f t="shared" si="29"/>
        <v>0</v>
      </c>
      <c r="AB77" s="20">
        <v>43</v>
      </c>
      <c r="AF77" s="20">
        <f t="shared" si="30"/>
        <v>172</v>
      </c>
      <c r="AG77" s="20">
        <f t="shared" si="31"/>
        <v>0</v>
      </c>
      <c r="AH77" s="20">
        <f t="shared" si="32"/>
        <v>0</v>
      </c>
      <c r="AI77" s="20">
        <f t="shared" si="33"/>
        <v>172</v>
      </c>
      <c r="AJ77" s="20">
        <f t="shared" si="34"/>
        <v>172</v>
      </c>
      <c r="CH77" s="20" t="s">
        <v>77</v>
      </c>
      <c r="CI77" s="20" t="s">
        <v>78</v>
      </c>
      <c r="CJ77" s="20">
        <f>1*285</f>
        <v>285</v>
      </c>
      <c r="CK77" s="20">
        <f t="shared" si="36"/>
        <v>285</v>
      </c>
      <c r="CL77" s="20">
        <f t="shared" si="35"/>
        <v>348.68203112857748</v>
      </c>
    </row>
    <row r="78" spans="1:90">
      <c r="A78" s="20" t="s">
        <v>549</v>
      </c>
      <c r="B78" s="20" t="s">
        <v>194</v>
      </c>
      <c r="C78" s="20" t="s">
        <v>162</v>
      </c>
      <c r="D78" s="20">
        <v>1000</v>
      </c>
      <c r="E78" s="20">
        <v>1000</v>
      </c>
      <c r="F78" s="20">
        <v>35</v>
      </c>
      <c r="G78" s="20">
        <v>20</v>
      </c>
      <c r="J78" s="20">
        <v>35</v>
      </c>
      <c r="M78" s="20">
        <v>20</v>
      </c>
      <c r="V78" s="20" t="s">
        <v>11</v>
      </c>
      <c r="W78" s="20">
        <f t="shared" si="29"/>
        <v>75</v>
      </c>
      <c r="X78" s="20">
        <f t="shared" si="29"/>
        <v>0</v>
      </c>
      <c r="Y78" s="20">
        <f t="shared" si="29"/>
        <v>0</v>
      </c>
      <c r="Z78" s="20">
        <f t="shared" si="29"/>
        <v>0</v>
      </c>
      <c r="AB78" s="20">
        <v>75</v>
      </c>
      <c r="AF78" s="20">
        <f t="shared" si="30"/>
        <v>300</v>
      </c>
      <c r="AG78" s="20">
        <f t="shared" si="31"/>
        <v>0</v>
      </c>
      <c r="AH78" s="20">
        <f t="shared" si="32"/>
        <v>0</v>
      </c>
      <c r="AI78" s="20">
        <f t="shared" si="33"/>
        <v>300</v>
      </c>
      <c r="AJ78" s="20">
        <f t="shared" si="34"/>
        <v>300</v>
      </c>
      <c r="CH78" s="20" t="s">
        <v>77</v>
      </c>
      <c r="CI78" s="20" t="s">
        <v>80</v>
      </c>
      <c r="CJ78" s="20">
        <f>2*285</f>
        <v>570</v>
      </c>
      <c r="CK78" s="20">
        <f t="shared" si="36"/>
        <v>570</v>
      </c>
      <c r="CL78" s="20">
        <f t="shared" si="35"/>
        <v>526.30586824751879</v>
      </c>
    </row>
    <row r="79" spans="1:90">
      <c r="A79" s="20" t="s">
        <v>549</v>
      </c>
      <c r="B79" s="20" t="s">
        <v>195</v>
      </c>
      <c r="C79" s="20" t="s">
        <v>96</v>
      </c>
      <c r="D79" s="20">
        <v>1000</v>
      </c>
      <c r="E79" s="20">
        <v>1000</v>
      </c>
      <c r="F79" s="20">
        <v>50</v>
      </c>
      <c r="G79" s="20">
        <v>20</v>
      </c>
      <c r="J79" s="20">
        <v>50</v>
      </c>
      <c r="M79" s="20">
        <v>20</v>
      </c>
      <c r="V79" s="20" t="s">
        <v>11</v>
      </c>
      <c r="W79" s="20">
        <f t="shared" si="29"/>
        <v>27</v>
      </c>
      <c r="X79" s="20">
        <f t="shared" si="29"/>
        <v>0</v>
      </c>
      <c r="Y79" s="20">
        <f t="shared" si="29"/>
        <v>0</v>
      </c>
      <c r="Z79" s="20">
        <f t="shared" si="29"/>
        <v>0</v>
      </c>
      <c r="AB79" s="20">
        <v>27</v>
      </c>
      <c r="AF79" s="20">
        <f t="shared" si="30"/>
        <v>108</v>
      </c>
      <c r="AG79" s="20">
        <f t="shared" si="31"/>
        <v>0</v>
      </c>
      <c r="AH79" s="20">
        <f t="shared" si="32"/>
        <v>0</v>
      </c>
      <c r="AI79" s="20">
        <f t="shared" si="33"/>
        <v>108</v>
      </c>
      <c r="AJ79" s="20">
        <f t="shared" si="34"/>
        <v>108</v>
      </c>
      <c r="CH79" s="20" t="s">
        <v>164</v>
      </c>
      <c r="CI79" s="20" t="s">
        <v>78</v>
      </c>
      <c r="CJ79" s="20">
        <f>1*285</f>
        <v>285</v>
      </c>
      <c r="CK79" s="20">
        <f t="shared" si="36"/>
        <v>285</v>
      </c>
      <c r="CL79" s="20">
        <f t="shared" si="35"/>
        <v>289.87011256910677</v>
      </c>
    </row>
    <row r="80" spans="1:90">
      <c r="A80" s="20" t="s">
        <v>549</v>
      </c>
      <c r="B80" s="20" t="s">
        <v>196</v>
      </c>
      <c r="C80" s="20" t="s">
        <v>96</v>
      </c>
      <c r="D80" s="20">
        <v>1000</v>
      </c>
      <c r="E80" s="20">
        <v>1000</v>
      </c>
      <c r="F80" s="20">
        <v>50</v>
      </c>
      <c r="G80" s="20">
        <v>20</v>
      </c>
      <c r="J80" s="20">
        <v>50</v>
      </c>
      <c r="M80" s="20">
        <v>20</v>
      </c>
      <c r="V80" s="20" t="s">
        <v>11</v>
      </c>
      <c r="W80" s="20">
        <f t="shared" si="29"/>
        <v>100</v>
      </c>
      <c r="X80" s="20">
        <f t="shared" si="29"/>
        <v>0</v>
      </c>
      <c r="Y80" s="20">
        <f t="shared" si="29"/>
        <v>0</v>
      </c>
      <c r="Z80" s="20">
        <f t="shared" si="29"/>
        <v>0</v>
      </c>
      <c r="AB80" s="20">
        <v>100</v>
      </c>
      <c r="AF80" s="20">
        <f t="shared" si="30"/>
        <v>400</v>
      </c>
      <c r="AG80" s="20">
        <f t="shared" si="31"/>
        <v>0</v>
      </c>
      <c r="AH80" s="20">
        <f t="shared" si="32"/>
        <v>0</v>
      </c>
      <c r="AI80" s="20">
        <f t="shared" si="33"/>
        <v>400</v>
      </c>
      <c r="AJ80" s="20">
        <f t="shared" si="34"/>
        <v>400</v>
      </c>
      <c r="CH80" s="20" t="s">
        <v>197</v>
      </c>
      <c r="CI80" s="20" t="s">
        <v>190</v>
      </c>
      <c r="CJ80" s="20">
        <f>3*285</f>
        <v>855</v>
      </c>
      <c r="CK80" s="20">
        <f t="shared" si="36"/>
        <v>855</v>
      </c>
      <c r="CL80" s="20">
        <f t="shared" si="35"/>
        <v>695.07449099669179</v>
      </c>
    </row>
    <row r="81" spans="1:90">
      <c r="A81" s="20" t="s">
        <v>549</v>
      </c>
      <c r="B81" s="20" t="s">
        <v>198</v>
      </c>
      <c r="C81" s="20" t="s">
        <v>96</v>
      </c>
      <c r="D81" s="20">
        <v>1000</v>
      </c>
      <c r="E81" s="20">
        <v>1000</v>
      </c>
      <c r="F81" s="20">
        <v>35</v>
      </c>
      <c r="G81" s="20">
        <v>20</v>
      </c>
      <c r="I81" s="20">
        <v>3</v>
      </c>
      <c r="J81" s="20">
        <v>38</v>
      </c>
      <c r="M81" s="20">
        <v>20</v>
      </c>
      <c r="V81" s="20" t="s">
        <v>11</v>
      </c>
      <c r="W81" s="20">
        <f t="shared" si="29"/>
        <v>100</v>
      </c>
      <c r="X81" s="20">
        <f t="shared" si="29"/>
        <v>0</v>
      </c>
      <c r="Y81" s="20">
        <f t="shared" si="29"/>
        <v>0</v>
      </c>
      <c r="Z81" s="20">
        <f t="shared" si="29"/>
        <v>0</v>
      </c>
      <c r="AA81" s="20">
        <f>IF($V81=AA$1,$AB81,)</f>
        <v>0</v>
      </c>
      <c r="AB81" s="20">
        <v>100</v>
      </c>
      <c r="AF81" s="20">
        <f t="shared" si="30"/>
        <v>400</v>
      </c>
      <c r="AG81" s="20">
        <f t="shared" si="31"/>
        <v>0</v>
      </c>
      <c r="AH81" s="20">
        <f t="shared" si="32"/>
        <v>0</v>
      </c>
      <c r="AI81" s="20">
        <f t="shared" si="33"/>
        <v>400</v>
      </c>
      <c r="AJ81" s="20">
        <f t="shared" si="34"/>
        <v>400</v>
      </c>
      <c r="CH81" s="20" t="s">
        <v>199</v>
      </c>
      <c r="CI81" s="20" t="s">
        <v>200</v>
      </c>
      <c r="CJ81" s="20">
        <f>(2+3)/2*285</f>
        <v>712.5</v>
      </c>
      <c r="CK81" s="20">
        <f t="shared" si="36"/>
        <v>712.5</v>
      </c>
      <c r="CL81" s="20">
        <f t="shared" si="35"/>
        <v>671.07449099669179</v>
      </c>
    </row>
    <row r="82" spans="1:90">
      <c r="A82" s="20" t="s">
        <v>549</v>
      </c>
      <c r="B82" s="20" t="s">
        <v>201</v>
      </c>
      <c r="C82" s="20" t="s">
        <v>96</v>
      </c>
      <c r="D82" s="20">
        <v>1000</v>
      </c>
      <c r="E82" s="20">
        <v>1000</v>
      </c>
      <c r="F82" s="20">
        <v>35</v>
      </c>
      <c r="G82" s="20">
        <v>20</v>
      </c>
      <c r="H82" s="20">
        <v>5</v>
      </c>
      <c r="I82" s="20">
        <v>3</v>
      </c>
      <c r="J82" s="20">
        <v>28</v>
      </c>
      <c r="O82" s="20">
        <v>20</v>
      </c>
      <c r="P82" s="20">
        <v>5</v>
      </c>
      <c r="S82" s="20">
        <v>10</v>
      </c>
      <c r="V82" s="20" t="s">
        <v>11</v>
      </c>
      <c r="W82" s="20">
        <f t="shared" si="29"/>
        <v>100</v>
      </c>
      <c r="X82" s="20">
        <f t="shared" si="29"/>
        <v>0</v>
      </c>
      <c r="Y82" s="20">
        <f t="shared" si="29"/>
        <v>0</v>
      </c>
      <c r="Z82" s="20">
        <f t="shared" si="29"/>
        <v>0</v>
      </c>
      <c r="AA82" s="20">
        <f>IF($V82=AA$1,$AB82,)</f>
        <v>0</v>
      </c>
      <c r="AB82" s="20">
        <v>100</v>
      </c>
      <c r="AF82" s="20">
        <f t="shared" si="30"/>
        <v>400</v>
      </c>
      <c r="AG82" s="20">
        <f t="shared" si="31"/>
        <v>0</v>
      </c>
      <c r="AH82" s="20">
        <f t="shared" si="32"/>
        <v>0</v>
      </c>
      <c r="AI82" s="20">
        <f t="shared" si="33"/>
        <v>400</v>
      </c>
      <c r="AJ82" s="20">
        <f t="shared" si="34"/>
        <v>400</v>
      </c>
      <c r="CH82" s="20" t="s">
        <v>182</v>
      </c>
      <c r="CI82" s="20" t="s">
        <v>200</v>
      </c>
      <c r="CJ82" s="20">
        <f>(2+3)/2*285</f>
        <v>712.5</v>
      </c>
      <c r="CK82" s="20">
        <f t="shared" si="36"/>
        <v>712.5</v>
      </c>
      <c r="CL82" s="20">
        <f t="shared" si="35"/>
        <v>681.07449099669179</v>
      </c>
    </row>
    <row r="83" spans="1:90">
      <c r="A83" s="20" t="s">
        <v>549</v>
      </c>
      <c r="B83" s="20" t="s">
        <v>202</v>
      </c>
      <c r="C83" s="20" t="s">
        <v>96</v>
      </c>
      <c r="D83" s="20">
        <v>1000</v>
      </c>
      <c r="E83" s="20">
        <v>1000</v>
      </c>
      <c r="F83" s="20">
        <v>35</v>
      </c>
      <c r="G83" s="20">
        <v>20</v>
      </c>
      <c r="H83" s="20">
        <v>5</v>
      </c>
      <c r="I83" s="20">
        <v>5</v>
      </c>
      <c r="J83" s="20">
        <v>35</v>
      </c>
      <c r="O83" s="20">
        <v>6</v>
      </c>
      <c r="Q83" s="20">
        <v>14</v>
      </c>
      <c r="S83" s="20">
        <v>10</v>
      </c>
      <c r="T83" s="20">
        <f>5*T$3/1000</f>
        <v>0.32694999999999996</v>
      </c>
      <c r="V83" s="20" t="s">
        <v>203</v>
      </c>
      <c r="W83" s="20">
        <v>60</v>
      </c>
      <c r="Y83" s="20">
        <v>15</v>
      </c>
      <c r="AA83" s="20">
        <v>30</v>
      </c>
      <c r="AB83" s="20">
        <v>105</v>
      </c>
      <c r="AF83" s="20">
        <f t="shared" si="30"/>
        <v>420</v>
      </c>
      <c r="AG83" s="20">
        <f t="shared" si="31"/>
        <v>0</v>
      </c>
      <c r="AH83" s="20">
        <f t="shared" si="32"/>
        <v>0</v>
      </c>
      <c r="AI83" s="20">
        <f t="shared" si="33"/>
        <v>420</v>
      </c>
      <c r="AJ83" s="20">
        <f t="shared" si="34"/>
        <v>420</v>
      </c>
      <c r="CH83" s="20" t="s">
        <v>169</v>
      </c>
      <c r="CI83" s="20" t="s">
        <v>204</v>
      </c>
      <c r="CJ83" s="20">
        <f>2.6*285</f>
        <v>741</v>
      </c>
      <c r="CK83" s="20">
        <f t="shared" si="36"/>
        <v>741</v>
      </c>
      <c r="CL83" s="20">
        <f t="shared" si="35"/>
        <v>728.15526548866524</v>
      </c>
    </row>
    <row r="84" spans="1:90">
      <c r="A84" s="20" t="s">
        <v>549</v>
      </c>
      <c r="B84" s="20" t="s">
        <v>205</v>
      </c>
      <c r="C84" s="20" t="s">
        <v>96</v>
      </c>
      <c r="D84" s="20">
        <v>1000</v>
      </c>
      <c r="E84" s="20">
        <v>1000</v>
      </c>
      <c r="F84" s="20">
        <v>50</v>
      </c>
      <c r="G84" s="20">
        <v>20</v>
      </c>
      <c r="J84" s="20">
        <v>50</v>
      </c>
      <c r="M84" s="20">
        <v>20</v>
      </c>
      <c r="V84" s="20" t="s">
        <v>206</v>
      </c>
      <c r="W84" s="20">
        <f t="shared" si="29"/>
        <v>0</v>
      </c>
      <c r="X84" s="20">
        <f t="shared" si="29"/>
        <v>0</v>
      </c>
      <c r="Y84" s="20">
        <f t="shared" si="29"/>
        <v>0</v>
      </c>
      <c r="Z84" s="20">
        <f t="shared" si="29"/>
        <v>0</v>
      </c>
      <c r="AA84" s="20">
        <f t="shared" ref="AA84:AA99" si="37">IF($V84=AA$1,$AB84,)</f>
        <v>27</v>
      </c>
      <c r="AB84" s="20">
        <v>27</v>
      </c>
      <c r="AF84" s="20">
        <f t="shared" si="30"/>
        <v>108</v>
      </c>
      <c r="AG84" s="20">
        <f t="shared" si="31"/>
        <v>0</v>
      </c>
      <c r="AH84" s="20">
        <f t="shared" si="32"/>
        <v>0</v>
      </c>
      <c r="AI84" s="20">
        <f t="shared" si="33"/>
        <v>108</v>
      </c>
      <c r="AJ84" s="20">
        <f t="shared" si="34"/>
        <v>108</v>
      </c>
      <c r="CH84" s="20" t="s">
        <v>164</v>
      </c>
      <c r="CI84" s="20" t="s">
        <v>78</v>
      </c>
      <c r="CJ84" s="20">
        <f>1*285</f>
        <v>285</v>
      </c>
      <c r="CK84" s="20">
        <f t="shared" si="36"/>
        <v>285</v>
      </c>
      <c r="CL84" s="20">
        <f t="shared" si="35"/>
        <v>289.86678507992895</v>
      </c>
    </row>
    <row r="85" spans="1:90">
      <c r="A85" s="20" t="s">
        <v>549</v>
      </c>
      <c r="B85" s="20" t="s">
        <v>207</v>
      </c>
      <c r="C85" s="20" t="s">
        <v>113</v>
      </c>
      <c r="D85" s="20">
        <v>1000</v>
      </c>
      <c r="E85" s="20">
        <v>1000</v>
      </c>
      <c r="F85" s="20">
        <v>50</v>
      </c>
      <c r="G85" s="20">
        <v>20</v>
      </c>
      <c r="J85" s="20">
        <v>50</v>
      </c>
      <c r="M85" s="20">
        <v>20</v>
      </c>
      <c r="V85" s="20" t="s">
        <v>11</v>
      </c>
      <c r="W85" s="20">
        <f t="shared" ref="W85:Z99" si="38">IF($V85=W$1,$AB85,0)</f>
        <v>27</v>
      </c>
      <c r="X85" s="20">
        <f t="shared" si="38"/>
        <v>0</v>
      </c>
      <c r="Y85" s="20">
        <f t="shared" si="38"/>
        <v>0</v>
      </c>
      <c r="Z85" s="20">
        <f t="shared" si="38"/>
        <v>0</v>
      </c>
      <c r="AA85" s="20">
        <f t="shared" si="37"/>
        <v>0</v>
      </c>
      <c r="AB85" s="20">
        <v>27</v>
      </c>
      <c r="AF85" s="20">
        <f t="shared" si="30"/>
        <v>108</v>
      </c>
      <c r="AG85" s="20">
        <f t="shared" si="31"/>
        <v>0</v>
      </c>
      <c r="AH85" s="20">
        <f t="shared" si="32"/>
        <v>0</v>
      </c>
      <c r="AI85" s="20">
        <f t="shared" si="33"/>
        <v>108</v>
      </c>
      <c r="AJ85" s="20">
        <f t="shared" si="34"/>
        <v>108</v>
      </c>
      <c r="CH85" s="20" t="s">
        <v>115</v>
      </c>
      <c r="CI85" s="20" t="s">
        <v>106</v>
      </c>
      <c r="CJ85" s="20">
        <f>0.9*285</f>
        <v>256.5</v>
      </c>
      <c r="CK85" s="20">
        <f t="shared" si="36"/>
        <v>256.5</v>
      </c>
      <c r="CL85" s="20">
        <f t="shared" si="35"/>
        <v>289.87011256910677</v>
      </c>
    </row>
    <row r="86" spans="1:90">
      <c r="A86" s="20" t="s">
        <v>549</v>
      </c>
      <c r="B86" s="20" t="s">
        <v>208</v>
      </c>
      <c r="C86" s="20" t="s">
        <v>113</v>
      </c>
      <c r="D86" s="20">
        <v>1000</v>
      </c>
      <c r="E86" s="20">
        <v>1000</v>
      </c>
      <c r="F86" s="20">
        <v>35</v>
      </c>
      <c r="G86" s="20">
        <v>20</v>
      </c>
      <c r="J86" s="20">
        <v>35</v>
      </c>
      <c r="M86" s="20">
        <v>20</v>
      </c>
      <c r="V86" s="20" t="s">
        <v>11</v>
      </c>
      <c r="W86" s="20">
        <f t="shared" si="38"/>
        <v>43</v>
      </c>
      <c r="X86" s="20">
        <f t="shared" si="38"/>
        <v>0</v>
      </c>
      <c r="Y86" s="20">
        <f t="shared" si="38"/>
        <v>0</v>
      </c>
      <c r="Z86" s="20">
        <f t="shared" si="38"/>
        <v>0</v>
      </c>
      <c r="AA86" s="20">
        <f t="shared" si="37"/>
        <v>0</v>
      </c>
      <c r="AB86" s="20">
        <v>43</v>
      </c>
      <c r="AF86" s="20">
        <f t="shared" si="30"/>
        <v>172</v>
      </c>
      <c r="AG86" s="20">
        <f t="shared" si="31"/>
        <v>0</v>
      </c>
      <c r="AH86" s="20">
        <f t="shared" si="32"/>
        <v>0</v>
      </c>
      <c r="AI86" s="20">
        <f t="shared" si="33"/>
        <v>172</v>
      </c>
      <c r="AJ86" s="20">
        <f t="shared" si="34"/>
        <v>172</v>
      </c>
      <c r="CH86" s="20" t="s">
        <v>179</v>
      </c>
      <c r="CI86" s="20" t="s">
        <v>78</v>
      </c>
      <c r="CJ86" s="20">
        <f>1*285</f>
        <v>285</v>
      </c>
      <c r="CK86" s="20">
        <f t="shared" si="36"/>
        <v>285</v>
      </c>
      <c r="CL86" s="20">
        <f t="shared" si="35"/>
        <v>348.68203112857748</v>
      </c>
    </row>
    <row r="87" spans="1:90">
      <c r="A87" s="20" t="s">
        <v>549</v>
      </c>
      <c r="B87" s="20" t="s">
        <v>209</v>
      </c>
      <c r="C87" s="20" t="s">
        <v>113</v>
      </c>
      <c r="D87" s="20">
        <v>1000</v>
      </c>
      <c r="E87" s="20">
        <v>1000</v>
      </c>
      <c r="F87" s="20">
        <v>35</v>
      </c>
      <c r="G87" s="20">
        <v>20</v>
      </c>
      <c r="J87" s="20">
        <v>35</v>
      </c>
      <c r="M87" s="20">
        <v>20</v>
      </c>
      <c r="V87" s="20" t="s">
        <v>11</v>
      </c>
      <c r="W87" s="20">
        <f t="shared" si="38"/>
        <v>75</v>
      </c>
      <c r="X87" s="20">
        <f t="shared" si="38"/>
        <v>0</v>
      </c>
      <c r="Y87" s="20">
        <f t="shared" si="38"/>
        <v>0</v>
      </c>
      <c r="Z87" s="20">
        <f t="shared" si="38"/>
        <v>0</v>
      </c>
      <c r="AA87" s="20">
        <f t="shared" si="37"/>
        <v>0</v>
      </c>
      <c r="AB87" s="20">
        <v>75</v>
      </c>
      <c r="AF87" s="20">
        <f t="shared" si="30"/>
        <v>300</v>
      </c>
      <c r="AG87" s="20">
        <f t="shared" si="31"/>
        <v>0</v>
      </c>
      <c r="AH87" s="20">
        <f t="shared" si="32"/>
        <v>0</v>
      </c>
      <c r="AI87" s="20">
        <f t="shared" si="33"/>
        <v>300</v>
      </c>
      <c r="AJ87" s="20">
        <f t="shared" si="34"/>
        <v>300</v>
      </c>
      <c r="CH87" s="20" t="s">
        <v>179</v>
      </c>
      <c r="CI87" s="20" t="s">
        <v>80</v>
      </c>
      <c r="CJ87" s="20">
        <f>2*285</f>
        <v>570</v>
      </c>
      <c r="CK87" s="20">
        <f t="shared" si="36"/>
        <v>570</v>
      </c>
      <c r="CL87" s="20">
        <f t="shared" si="35"/>
        <v>526.30586824751879</v>
      </c>
    </row>
    <row r="88" spans="1:90">
      <c r="A88" s="20" t="s">
        <v>549</v>
      </c>
      <c r="B88" s="20" t="s">
        <v>210</v>
      </c>
      <c r="C88" s="20" t="s">
        <v>113</v>
      </c>
      <c r="D88" s="20">
        <v>1000</v>
      </c>
      <c r="E88" s="20">
        <v>1000</v>
      </c>
      <c r="F88" s="20">
        <v>40</v>
      </c>
      <c r="G88" s="20">
        <v>35</v>
      </c>
      <c r="J88" s="20">
        <v>40</v>
      </c>
      <c r="M88" s="20">
        <v>20</v>
      </c>
      <c r="S88" s="20">
        <v>8</v>
      </c>
      <c r="V88" s="20" t="s">
        <v>11</v>
      </c>
      <c r="W88" s="20">
        <f t="shared" si="38"/>
        <v>100</v>
      </c>
      <c r="X88" s="20">
        <f t="shared" si="38"/>
        <v>0</v>
      </c>
      <c r="Y88" s="20">
        <f t="shared" si="38"/>
        <v>0</v>
      </c>
      <c r="Z88" s="20">
        <f t="shared" si="38"/>
        <v>0</v>
      </c>
      <c r="AA88" s="20">
        <f t="shared" si="37"/>
        <v>0</v>
      </c>
      <c r="AB88" s="20">
        <v>100</v>
      </c>
      <c r="AF88" s="20">
        <f t="shared" si="30"/>
        <v>400</v>
      </c>
      <c r="AG88" s="20">
        <f t="shared" si="31"/>
        <v>0</v>
      </c>
      <c r="AH88" s="20">
        <f t="shared" si="32"/>
        <v>0</v>
      </c>
      <c r="AI88" s="20">
        <f t="shared" si="33"/>
        <v>400</v>
      </c>
      <c r="AJ88" s="20">
        <f t="shared" si="34"/>
        <v>400</v>
      </c>
      <c r="CH88" s="20" t="s">
        <v>90</v>
      </c>
      <c r="CI88" s="20" t="s">
        <v>190</v>
      </c>
      <c r="CJ88" s="20">
        <f>3*285</f>
        <v>855</v>
      </c>
      <c r="CK88" s="20">
        <f t="shared" si="36"/>
        <v>855</v>
      </c>
      <c r="CL88" s="20">
        <f t="shared" si="35"/>
        <v>698.07449099669179</v>
      </c>
    </row>
    <row r="89" spans="1:90">
      <c r="A89" s="20" t="s">
        <v>549</v>
      </c>
      <c r="B89" s="20" t="s">
        <v>211</v>
      </c>
      <c r="C89" s="20" t="s">
        <v>113</v>
      </c>
      <c r="D89" s="20">
        <v>1000</v>
      </c>
      <c r="E89" s="20">
        <v>1000</v>
      </c>
      <c r="F89" s="20">
        <v>45</v>
      </c>
      <c r="G89" s="20">
        <v>17</v>
      </c>
      <c r="I89" s="20">
        <v>5</v>
      </c>
      <c r="J89" s="20">
        <v>37</v>
      </c>
      <c r="O89" s="20">
        <v>20</v>
      </c>
      <c r="S89" s="20">
        <v>10</v>
      </c>
      <c r="V89" s="20" t="s">
        <v>12</v>
      </c>
      <c r="W89" s="20">
        <f t="shared" si="38"/>
        <v>0</v>
      </c>
      <c r="X89" s="20">
        <f t="shared" si="38"/>
        <v>50</v>
      </c>
      <c r="Y89" s="20">
        <f t="shared" si="38"/>
        <v>0</v>
      </c>
      <c r="Z89" s="20">
        <f t="shared" si="38"/>
        <v>0</v>
      </c>
      <c r="AA89" s="20">
        <f t="shared" si="37"/>
        <v>0</v>
      </c>
      <c r="AB89" s="20">
        <v>50</v>
      </c>
      <c r="AF89" s="20">
        <f t="shared" si="30"/>
        <v>200</v>
      </c>
      <c r="AG89" s="20">
        <f t="shared" si="31"/>
        <v>0</v>
      </c>
      <c r="AH89" s="20">
        <f t="shared" si="32"/>
        <v>0</v>
      </c>
      <c r="AI89" s="20">
        <f t="shared" si="33"/>
        <v>200</v>
      </c>
      <c r="AJ89" s="20">
        <f t="shared" si="34"/>
        <v>200</v>
      </c>
      <c r="CH89" s="20" t="s">
        <v>175</v>
      </c>
      <c r="CI89" s="20" t="s">
        <v>78</v>
      </c>
      <c r="CJ89" s="20">
        <f>1*285</f>
        <v>285</v>
      </c>
      <c r="CK89" s="20">
        <f t="shared" si="36"/>
        <v>285</v>
      </c>
      <c r="CL89" s="20">
        <f t="shared" si="35"/>
        <v>280.07069821793743</v>
      </c>
    </row>
    <row r="90" spans="1:90">
      <c r="A90" s="20" t="s">
        <v>549</v>
      </c>
      <c r="B90" s="20" t="s">
        <v>212</v>
      </c>
      <c r="C90" s="20" t="s">
        <v>119</v>
      </c>
      <c r="D90" s="20">
        <v>1000</v>
      </c>
      <c r="E90" s="20">
        <v>1000</v>
      </c>
      <c r="F90" s="20">
        <v>35</v>
      </c>
      <c r="G90" s="20">
        <v>20</v>
      </c>
      <c r="J90" s="20">
        <v>35</v>
      </c>
      <c r="M90" s="20">
        <v>20</v>
      </c>
      <c r="V90" s="20" t="s">
        <v>11</v>
      </c>
      <c r="W90" s="20">
        <f t="shared" si="38"/>
        <v>43</v>
      </c>
      <c r="X90" s="20">
        <f t="shared" si="38"/>
        <v>0</v>
      </c>
      <c r="Y90" s="20">
        <f t="shared" si="38"/>
        <v>0</v>
      </c>
      <c r="Z90" s="20">
        <f t="shared" si="38"/>
        <v>0</v>
      </c>
      <c r="AA90" s="20">
        <f t="shared" si="37"/>
        <v>0</v>
      </c>
      <c r="AB90" s="20">
        <v>43</v>
      </c>
      <c r="AF90" s="20">
        <f t="shared" si="30"/>
        <v>172</v>
      </c>
      <c r="AG90" s="20">
        <f t="shared" si="31"/>
        <v>0</v>
      </c>
      <c r="AH90" s="20">
        <f t="shared" si="32"/>
        <v>0</v>
      </c>
      <c r="AI90" s="20">
        <f t="shared" si="33"/>
        <v>172</v>
      </c>
      <c r="AJ90" s="20">
        <f t="shared" si="34"/>
        <v>172</v>
      </c>
      <c r="CH90" s="20" t="s">
        <v>77</v>
      </c>
      <c r="CI90" s="20" t="s">
        <v>78</v>
      </c>
      <c r="CJ90" s="20">
        <f>1*285</f>
        <v>285</v>
      </c>
      <c r="CK90" s="20">
        <f t="shared" si="36"/>
        <v>285</v>
      </c>
      <c r="CL90" s="20">
        <f t="shared" si="35"/>
        <v>348.68203112857748</v>
      </c>
    </row>
    <row r="91" spans="1:90">
      <c r="A91" s="20" t="s">
        <v>549</v>
      </c>
      <c r="B91" s="20" t="s">
        <v>213</v>
      </c>
      <c r="C91" s="20" t="s">
        <v>153</v>
      </c>
      <c r="D91" s="20">
        <v>1000</v>
      </c>
      <c r="E91" s="20">
        <v>1000</v>
      </c>
      <c r="F91" s="20">
        <v>35</v>
      </c>
      <c r="G91" s="20">
        <v>20</v>
      </c>
      <c r="J91" s="20">
        <v>35</v>
      </c>
      <c r="M91" s="20">
        <v>20</v>
      </c>
      <c r="V91" s="20" t="s">
        <v>11</v>
      </c>
      <c r="W91" s="20">
        <f t="shared" si="38"/>
        <v>43</v>
      </c>
      <c r="X91" s="20">
        <f t="shared" si="38"/>
        <v>0</v>
      </c>
      <c r="Y91" s="20">
        <f t="shared" si="38"/>
        <v>0</v>
      </c>
      <c r="Z91" s="20">
        <f t="shared" si="38"/>
        <v>0</v>
      </c>
      <c r="AA91" s="20">
        <f t="shared" si="37"/>
        <v>0</v>
      </c>
      <c r="AB91" s="20">
        <v>43</v>
      </c>
      <c r="AF91" s="20">
        <f t="shared" si="30"/>
        <v>172</v>
      </c>
      <c r="AG91" s="20">
        <f t="shared" si="31"/>
        <v>0</v>
      </c>
      <c r="AH91" s="20">
        <f t="shared" si="32"/>
        <v>0</v>
      </c>
      <c r="AI91" s="20">
        <f t="shared" si="33"/>
        <v>172</v>
      </c>
      <c r="AJ91" s="20">
        <f t="shared" si="34"/>
        <v>172</v>
      </c>
      <c r="CH91" s="20" t="s">
        <v>214</v>
      </c>
      <c r="CI91" s="20" t="s">
        <v>78</v>
      </c>
      <c r="CJ91" s="20">
        <f>1*285</f>
        <v>285</v>
      </c>
      <c r="CK91" s="20">
        <f t="shared" si="36"/>
        <v>285</v>
      </c>
      <c r="CL91" s="20">
        <f t="shared" si="35"/>
        <v>348.68203112857748</v>
      </c>
    </row>
    <row r="92" spans="1:90">
      <c r="A92" s="20" t="s">
        <v>549</v>
      </c>
      <c r="B92" s="20" t="s">
        <v>215</v>
      </c>
      <c r="C92" s="20" t="s">
        <v>153</v>
      </c>
      <c r="D92" s="20">
        <v>1000</v>
      </c>
      <c r="E92" s="20">
        <v>1000</v>
      </c>
      <c r="F92" s="20">
        <v>45</v>
      </c>
      <c r="G92" s="20">
        <v>17</v>
      </c>
      <c r="I92" s="20">
        <v>5</v>
      </c>
      <c r="J92" s="20">
        <v>37</v>
      </c>
      <c r="O92" s="20">
        <v>20</v>
      </c>
      <c r="S92" s="20">
        <v>10</v>
      </c>
      <c r="V92" s="20" t="s">
        <v>11</v>
      </c>
      <c r="W92" s="20">
        <f t="shared" si="38"/>
        <v>50</v>
      </c>
      <c r="X92" s="20">
        <f t="shared" si="38"/>
        <v>0</v>
      </c>
      <c r="Y92" s="20">
        <f t="shared" si="38"/>
        <v>0</v>
      </c>
      <c r="Z92" s="20">
        <f t="shared" si="38"/>
        <v>0</v>
      </c>
      <c r="AA92" s="20">
        <f t="shared" si="37"/>
        <v>0</v>
      </c>
      <c r="AB92" s="20">
        <v>50</v>
      </c>
      <c r="AF92" s="20">
        <f t="shared" si="30"/>
        <v>200</v>
      </c>
      <c r="AG92" s="20">
        <f t="shared" si="31"/>
        <v>0</v>
      </c>
      <c r="AH92" s="20">
        <f t="shared" si="32"/>
        <v>0</v>
      </c>
      <c r="AI92" s="20">
        <f t="shared" si="33"/>
        <v>200</v>
      </c>
      <c r="AJ92" s="20">
        <f t="shared" si="34"/>
        <v>200</v>
      </c>
      <c r="CH92" s="20" t="s">
        <v>175</v>
      </c>
      <c r="CI92" s="20" t="s">
        <v>216</v>
      </c>
      <c r="CJ92" s="20">
        <f>(1.4+1.6)/2*285</f>
        <v>427.5</v>
      </c>
      <c r="CK92" s="20">
        <f t="shared" si="36"/>
        <v>427.5</v>
      </c>
      <c r="CL92" s="20">
        <f t="shared" si="35"/>
        <v>411.5372454983459</v>
      </c>
    </row>
    <row r="93" spans="1:90">
      <c r="A93" s="20" t="s">
        <v>549</v>
      </c>
      <c r="B93" s="20" t="s">
        <v>217</v>
      </c>
      <c r="C93" s="20" t="s">
        <v>153</v>
      </c>
      <c r="D93" s="20">
        <v>1000</v>
      </c>
      <c r="E93" s="20">
        <v>1000</v>
      </c>
      <c r="F93" s="20">
        <v>45</v>
      </c>
      <c r="G93" s="20">
        <v>17</v>
      </c>
      <c r="I93" s="20">
        <v>5</v>
      </c>
      <c r="J93" s="20">
        <v>37</v>
      </c>
      <c r="O93" s="20">
        <v>20</v>
      </c>
      <c r="S93" s="20">
        <v>10</v>
      </c>
      <c r="V93" s="20" t="s">
        <v>12</v>
      </c>
      <c r="W93" s="20">
        <f t="shared" si="38"/>
        <v>0</v>
      </c>
      <c r="X93" s="20">
        <f t="shared" si="38"/>
        <v>50</v>
      </c>
      <c r="Y93" s="20">
        <f t="shared" si="38"/>
        <v>0</v>
      </c>
      <c r="Z93" s="20">
        <f t="shared" si="38"/>
        <v>0</v>
      </c>
      <c r="AA93" s="20">
        <f t="shared" si="37"/>
        <v>0</v>
      </c>
      <c r="AB93" s="20">
        <v>50</v>
      </c>
      <c r="AF93" s="20">
        <f t="shared" si="30"/>
        <v>200</v>
      </c>
      <c r="AG93" s="20">
        <f t="shared" si="31"/>
        <v>0</v>
      </c>
      <c r="AH93" s="20">
        <f t="shared" si="32"/>
        <v>0</v>
      </c>
      <c r="AI93" s="20">
        <f t="shared" si="33"/>
        <v>200</v>
      </c>
      <c r="AJ93" s="20">
        <f t="shared" si="34"/>
        <v>200</v>
      </c>
      <c r="CH93" s="20" t="s">
        <v>90</v>
      </c>
      <c r="CI93" s="20" t="s">
        <v>78</v>
      </c>
      <c r="CJ93" s="20">
        <f>1*285</f>
        <v>285</v>
      </c>
      <c r="CK93" s="20">
        <f t="shared" si="36"/>
        <v>285</v>
      </c>
      <c r="CL93" s="20">
        <f t="shared" si="35"/>
        <v>280.07069821793743</v>
      </c>
    </row>
    <row r="94" spans="1:90">
      <c r="A94" s="20" t="s">
        <v>549</v>
      </c>
      <c r="B94" s="20" t="s">
        <v>218</v>
      </c>
      <c r="C94" s="20" t="s">
        <v>123</v>
      </c>
      <c r="D94" s="20">
        <v>1000</v>
      </c>
      <c r="E94" s="20">
        <v>1000</v>
      </c>
      <c r="F94" s="20">
        <v>45</v>
      </c>
      <c r="G94" s="20">
        <v>17</v>
      </c>
      <c r="I94" s="20">
        <v>5</v>
      </c>
      <c r="J94" s="20">
        <v>37</v>
      </c>
      <c r="O94" s="20">
        <v>20</v>
      </c>
      <c r="S94" s="20">
        <v>10</v>
      </c>
      <c r="V94" s="20" t="s">
        <v>12</v>
      </c>
      <c r="W94" s="20">
        <f t="shared" si="38"/>
        <v>0</v>
      </c>
      <c r="X94" s="20">
        <f t="shared" si="38"/>
        <v>50</v>
      </c>
      <c r="Y94" s="20">
        <f t="shared" si="38"/>
        <v>0</v>
      </c>
      <c r="Z94" s="20">
        <f t="shared" si="38"/>
        <v>0</v>
      </c>
      <c r="AA94" s="20">
        <f t="shared" si="37"/>
        <v>0</v>
      </c>
      <c r="AB94" s="20">
        <v>50</v>
      </c>
      <c r="AF94" s="20">
        <f t="shared" si="30"/>
        <v>200</v>
      </c>
      <c r="AG94" s="20">
        <f t="shared" si="31"/>
        <v>0</v>
      </c>
      <c r="AH94" s="20">
        <f t="shared" si="32"/>
        <v>0</v>
      </c>
      <c r="AI94" s="20">
        <f t="shared" si="33"/>
        <v>200</v>
      </c>
      <c r="AJ94" s="20">
        <f t="shared" si="34"/>
        <v>200</v>
      </c>
      <c r="CH94" s="20" t="s">
        <v>175</v>
      </c>
      <c r="CI94" s="20" t="s">
        <v>78</v>
      </c>
      <c r="CJ94" s="20">
        <f>1*285</f>
        <v>285</v>
      </c>
      <c r="CK94" s="20">
        <f t="shared" si="36"/>
        <v>285</v>
      </c>
      <c r="CL94" s="20">
        <f t="shared" si="35"/>
        <v>280.07069821793743</v>
      </c>
    </row>
    <row r="95" spans="1:90">
      <c r="A95" s="20" t="s">
        <v>549</v>
      </c>
      <c r="B95" s="20" t="s">
        <v>219</v>
      </c>
      <c r="C95" s="20" t="s">
        <v>123</v>
      </c>
      <c r="D95" s="20">
        <v>1000</v>
      </c>
      <c r="E95" s="20">
        <v>1000</v>
      </c>
      <c r="F95" s="20">
        <v>45</v>
      </c>
      <c r="G95" s="20">
        <v>17</v>
      </c>
      <c r="I95" s="20">
        <v>5</v>
      </c>
      <c r="J95" s="20">
        <v>37</v>
      </c>
      <c r="O95" s="20">
        <v>20</v>
      </c>
      <c r="S95" s="20">
        <v>10</v>
      </c>
      <c r="V95" s="20" t="s">
        <v>11</v>
      </c>
      <c r="W95" s="20">
        <f t="shared" si="38"/>
        <v>50</v>
      </c>
      <c r="X95" s="20">
        <f t="shared" si="38"/>
        <v>0</v>
      </c>
      <c r="Y95" s="20">
        <f t="shared" si="38"/>
        <v>0</v>
      </c>
      <c r="Z95" s="20">
        <f t="shared" si="38"/>
        <v>0</v>
      </c>
      <c r="AA95" s="20">
        <f t="shared" si="37"/>
        <v>0</v>
      </c>
      <c r="AB95" s="20">
        <v>50</v>
      </c>
      <c r="AF95" s="20">
        <f t="shared" si="30"/>
        <v>200</v>
      </c>
      <c r="AG95" s="20">
        <f t="shared" si="31"/>
        <v>0</v>
      </c>
      <c r="AH95" s="20">
        <f t="shared" si="32"/>
        <v>0</v>
      </c>
      <c r="AI95" s="20">
        <f t="shared" si="33"/>
        <v>200</v>
      </c>
      <c r="AJ95" s="20">
        <f t="shared" si="34"/>
        <v>200</v>
      </c>
      <c r="CH95" s="20" t="s">
        <v>175</v>
      </c>
      <c r="CI95" s="20" t="s">
        <v>111</v>
      </c>
      <c r="CJ95" s="20">
        <f>1.5*285</f>
        <v>427.5</v>
      </c>
      <c r="CK95" s="20">
        <f t="shared" si="36"/>
        <v>427.5</v>
      </c>
      <c r="CL95" s="20">
        <f t="shared" si="35"/>
        <v>411.5372454983459</v>
      </c>
    </row>
    <row r="96" spans="1:90">
      <c r="A96" s="20" t="s">
        <v>549</v>
      </c>
      <c r="B96" s="20" t="s">
        <v>220</v>
      </c>
      <c r="C96" s="20" t="s">
        <v>123</v>
      </c>
      <c r="D96" s="20">
        <v>1000</v>
      </c>
      <c r="E96" s="20">
        <v>1000</v>
      </c>
      <c r="F96" s="20">
        <v>40</v>
      </c>
      <c r="G96" s="20">
        <v>20</v>
      </c>
      <c r="J96" s="20">
        <v>40</v>
      </c>
      <c r="M96" s="20">
        <v>20</v>
      </c>
      <c r="V96" s="20" t="s">
        <v>11</v>
      </c>
      <c r="W96" s="20">
        <f t="shared" si="38"/>
        <v>50</v>
      </c>
      <c r="X96" s="20">
        <f t="shared" si="38"/>
        <v>0</v>
      </c>
      <c r="Y96" s="20">
        <f t="shared" si="38"/>
        <v>0</v>
      </c>
      <c r="Z96" s="20">
        <f t="shared" si="38"/>
        <v>0</v>
      </c>
      <c r="AA96" s="20">
        <f t="shared" si="37"/>
        <v>0</v>
      </c>
      <c r="AB96" s="20">
        <v>50</v>
      </c>
      <c r="AF96" s="20">
        <f t="shared" si="30"/>
        <v>200</v>
      </c>
      <c r="AG96" s="20">
        <f t="shared" si="31"/>
        <v>0</v>
      </c>
      <c r="AH96" s="20">
        <f t="shared" si="32"/>
        <v>0</v>
      </c>
      <c r="AI96" s="20">
        <f t="shared" si="33"/>
        <v>200</v>
      </c>
      <c r="AJ96" s="20">
        <f t="shared" si="34"/>
        <v>200</v>
      </c>
      <c r="CH96" s="20" t="s">
        <v>169</v>
      </c>
      <c r="CI96" s="20" t="s">
        <v>127</v>
      </c>
      <c r="CJ96" s="20">
        <f>(1.4+1.5)/2*285</f>
        <v>413.25</v>
      </c>
      <c r="CK96" s="20">
        <f t="shared" si="36"/>
        <v>413.25</v>
      </c>
      <c r="CL96" s="20">
        <f t="shared" si="35"/>
        <v>397.5372454983459</v>
      </c>
    </row>
    <row r="97" spans="1:90">
      <c r="A97" s="20" t="s">
        <v>549</v>
      </c>
      <c r="B97" s="20" t="s">
        <v>221</v>
      </c>
      <c r="C97" s="20" t="s">
        <v>123</v>
      </c>
      <c r="D97" s="20">
        <v>1000</v>
      </c>
      <c r="E97" s="20">
        <v>1000</v>
      </c>
      <c r="F97" s="20">
        <v>45</v>
      </c>
      <c r="G97" s="20">
        <v>17</v>
      </c>
      <c r="I97" s="20">
        <v>5</v>
      </c>
      <c r="J97" s="20">
        <v>37</v>
      </c>
      <c r="O97" s="20">
        <v>20</v>
      </c>
      <c r="S97" s="20">
        <v>10</v>
      </c>
      <c r="V97" s="20" t="s">
        <v>12</v>
      </c>
      <c r="W97" s="20">
        <f t="shared" si="38"/>
        <v>0</v>
      </c>
      <c r="X97" s="20">
        <f t="shared" si="38"/>
        <v>50</v>
      </c>
      <c r="Y97" s="20">
        <f t="shared" si="38"/>
        <v>0</v>
      </c>
      <c r="Z97" s="20">
        <f t="shared" si="38"/>
        <v>0</v>
      </c>
      <c r="AA97" s="20">
        <f t="shared" si="37"/>
        <v>0</v>
      </c>
      <c r="AB97" s="20">
        <v>50</v>
      </c>
      <c r="AF97" s="20">
        <f t="shared" si="30"/>
        <v>200</v>
      </c>
      <c r="AG97" s="20">
        <f t="shared" si="31"/>
        <v>0</v>
      </c>
      <c r="AH97" s="20">
        <f t="shared" si="32"/>
        <v>0</v>
      </c>
      <c r="AI97" s="20">
        <f t="shared" si="33"/>
        <v>200</v>
      </c>
      <c r="AJ97" s="20">
        <f t="shared" si="34"/>
        <v>200</v>
      </c>
      <c r="CH97" s="20" t="s">
        <v>126</v>
      </c>
      <c r="CI97" s="20" t="s">
        <v>158</v>
      </c>
      <c r="CJ97" s="20">
        <f>(0.9+1)/2*285</f>
        <v>270.75</v>
      </c>
      <c r="CK97" s="20">
        <f t="shared" si="36"/>
        <v>270.75</v>
      </c>
      <c r="CL97" s="20">
        <f t="shared" si="35"/>
        <v>280.07069821793743</v>
      </c>
    </row>
    <row r="98" spans="1:90">
      <c r="A98" s="20" t="s">
        <v>549</v>
      </c>
      <c r="B98" s="20" t="s">
        <v>222</v>
      </c>
      <c r="C98" s="20" t="s">
        <v>132</v>
      </c>
      <c r="D98" s="20">
        <v>1000</v>
      </c>
      <c r="E98" s="20">
        <v>1000</v>
      </c>
      <c r="F98" s="20">
        <v>35</v>
      </c>
      <c r="G98" s="20">
        <v>20</v>
      </c>
      <c r="I98" s="20">
        <v>3</v>
      </c>
      <c r="J98" s="20">
        <v>38</v>
      </c>
      <c r="M98" s="20">
        <v>20</v>
      </c>
      <c r="V98" s="20" t="s">
        <v>11</v>
      </c>
      <c r="W98" s="20">
        <f t="shared" si="38"/>
        <v>100</v>
      </c>
      <c r="X98" s="20">
        <f t="shared" si="38"/>
        <v>0</v>
      </c>
      <c r="Y98" s="20">
        <f t="shared" si="38"/>
        <v>0</v>
      </c>
      <c r="Z98" s="20">
        <f t="shared" si="38"/>
        <v>0</v>
      </c>
      <c r="AA98" s="20">
        <f t="shared" si="37"/>
        <v>0</v>
      </c>
      <c r="AB98" s="20">
        <v>100</v>
      </c>
      <c r="AF98" s="20">
        <f t="shared" si="30"/>
        <v>400</v>
      </c>
      <c r="AG98" s="20">
        <f t="shared" si="31"/>
        <v>0</v>
      </c>
      <c r="AH98" s="20">
        <f t="shared" si="32"/>
        <v>0</v>
      </c>
      <c r="AI98" s="20">
        <f t="shared" si="33"/>
        <v>400</v>
      </c>
      <c r="AJ98" s="20">
        <f t="shared" si="34"/>
        <v>400</v>
      </c>
      <c r="CH98" s="20" t="s">
        <v>199</v>
      </c>
      <c r="CI98" s="20" t="s">
        <v>223</v>
      </c>
      <c r="CJ98" s="20">
        <f>(2+2.9)/2*285</f>
        <v>698.25</v>
      </c>
      <c r="CK98" s="20">
        <f t="shared" si="36"/>
        <v>698.25</v>
      </c>
      <c r="CL98" s="20">
        <f t="shared" si="35"/>
        <v>671.07449099669179</v>
      </c>
    </row>
    <row r="99" spans="1:90">
      <c r="A99" s="20" t="s">
        <v>549</v>
      </c>
      <c r="B99" s="20" t="s">
        <v>224</v>
      </c>
      <c r="C99" s="20" t="s">
        <v>132</v>
      </c>
      <c r="D99" s="20">
        <v>1000</v>
      </c>
      <c r="E99" s="20">
        <v>1000</v>
      </c>
      <c r="F99" s="20">
        <v>45</v>
      </c>
      <c r="G99" s="20">
        <v>17</v>
      </c>
      <c r="I99" s="20">
        <v>5</v>
      </c>
      <c r="J99" s="20">
        <v>37</v>
      </c>
      <c r="O99" s="20">
        <v>20</v>
      </c>
      <c r="S99" s="20">
        <v>10</v>
      </c>
      <c r="V99" s="20" t="s">
        <v>12</v>
      </c>
      <c r="W99" s="20">
        <f t="shared" si="38"/>
        <v>0</v>
      </c>
      <c r="X99" s="20">
        <f t="shared" si="38"/>
        <v>50</v>
      </c>
      <c r="Y99" s="20">
        <f t="shared" si="38"/>
        <v>0</v>
      </c>
      <c r="Z99" s="20">
        <f t="shared" si="38"/>
        <v>0</v>
      </c>
      <c r="AA99" s="20">
        <f t="shared" si="37"/>
        <v>0</v>
      </c>
      <c r="AB99" s="20">
        <v>50</v>
      </c>
      <c r="AF99" s="20">
        <f t="shared" si="30"/>
        <v>200</v>
      </c>
      <c r="AG99" s="20">
        <f t="shared" si="31"/>
        <v>0</v>
      </c>
      <c r="AH99" s="20">
        <f t="shared" si="32"/>
        <v>0</v>
      </c>
      <c r="AI99" s="20">
        <f t="shared" si="33"/>
        <v>200</v>
      </c>
      <c r="AJ99" s="20">
        <f t="shared" si="34"/>
        <v>200</v>
      </c>
      <c r="CH99" s="20" t="s">
        <v>175</v>
      </c>
      <c r="CI99" s="20" t="s">
        <v>158</v>
      </c>
      <c r="CJ99" s="20">
        <f>(0.9+1)/2*285</f>
        <v>270.75</v>
      </c>
      <c r="CK99" s="20">
        <f t="shared" si="36"/>
        <v>270.75</v>
      </c>
      <c r="CL99" s="20">
        <f t="shared" si="35"/>
        <v>280.07069821793743</v>
      </c>
    </row>
    <row r="101" spans="1:90">
      <c r="B101" s="20" t="s">
        <v>550</v>
      </c>
    </row>
    <row r="102" spans="1:90">
      <c r="A102" s="20" t="s">
        <v>551</v>
      </c>
      <c r="B102" s="20" t="s">
        <v>225</v>
      </c>
      <c r="C102" s="20" t="s">
        <v>156</v>
      </c>
      <c r="D102" s="20">
        <v>1000</v>
      </c>
      <c r="E102" s="20">
        <v>1000</v>
      </c>
      <c r="F102" s="20">
        <v>30</v>
      </c>
      <c r="J102" s="20">
        <v>20</v>
      </c>
      <c r="M102" s="20">
        <v>10</v>
      </c>
      <c r="V102" s="20" t="s">
        <v>11</v>
      </c>
      <c r="W102" s="20">
        <f t="shared" ref="W102:Z104" si="39">IF($V102=W$1,$AB102,0)</f>
        <v>43</v>
      </c>
      <c r="X102" s="20">
        <f t="shared" si="39"/>
        <v>0</v>
      </c>
      <c r="Y102" s="20">
        <f t="shared" si="39"/>
        <v>0</v>
      </c>
      <c r="Z102" s="20">
        <f t="shared" si="39"/>
        <v>0</v>
      </c>
      <c r="AA102" s="20">
        <f t="shared" ref="AA102:AA104" si="40">IF($V102=AA$1,$AB102,)</f>
        <v>0</v>
      </c>
      <c r="AB102" s="20">
        <v>43</v>
      </c>
      <c r="AF102" s="20">
        <f t="shared" ref="AF102:AF104" si="41">AB102*4</f>
        <v>172</v>
      </c>
      <c r="AG102" s="20">
        <f t="shared" ref="AG102:AG104" si="42">AC102*9</f>
        <v>0</v>
      </c>
      <c r="AH102" s="20">
        <f t="shared" ref="AH102:AH104" si="43">AE102*4</f>
        <v>0</v>
      </c>
      <c r="AI102" s="20">
        <f t="shared" ref="AI102:AI104" si="44">SUM(AF102:AH102)</f>
        <v>172</v>
      </c>
      <c r="AJ102" s="20">
        <f t="shared" ref="AJ102:AJ104" si="45">SUM(AF102,AG102)</f>
        <v>172</v>
      </c>
      <c r="CH102" s="20" t="s">
        <v>77</v>
      </c>
      <c r="CI102" s="20" t="s">
        <v>78</v>
      </c>
      <c r="CJ102" s="20">
        <f>1*285</f>
        <v>285</v>
      </c>
      <c r="CK102" s="20">
        <f t="shared" si="36"/>
        <v>285</v>
      </c>
      <c r="CL102" s="20">
        <f t="shared" si="35"/>
        <v>298.68203112857748</v>
      </c>
    </row>
    <row r="103" spans="1:90">
      <c r="A103" s="20" t="s">
        <v>551</v>
      </c>
      <c r="B103" s="20" t="s">
        <v>226</v>
      </c>
      <c r="C103" s="20" t="s">
        <v>96</v>
      </c>
      <c r="D103" s="20">
        <v>1000</v>
      </c>
      <c r="E103" s="20">
        <v>1000</v>
      </c>
      <c r="F103" s="20">
        <v>30</v>
      </c>
      <c r="J103" s="20">
        <v>20</v>
      </c>
      <c r="M103" s="20">
        <v>10</v>
      </c>
      <c r="V103" s="20" t="s">
        <v>11</v>
      </c>
      <c r="W103" s="20">
        <f t="shared" si="39"/>
        <v>40</v>
      </c>
      <c r="X103" s="20">
        <f t="shared" si="39"/>
        <v>0</v>
      </c>
      <c r="Y103" s="20">
        <f t="shared" si="39"/>
        <v>0</v>
      </c>
      <c r="Z103" s="20">
        <f t="shared" si="39"/>
        <v>0</v>
      </c>
      <c r="AA103" s="20">
        <f t="shared" si="40"/>
        <v>0</v>
      </c>
      <c r="AB103" s="20">
        <v>40</v>
      </c>
      <c r="AF103" s="20">
        <f t="shared" si="41"/>
        <v>160</v>
      </c>
      <c r="AG103" s="20">
        <f t="shared" si="42"/>
        <v>0</v>
      </c>
      <c r="AH103" s="20">
        <f t="shared" si="43"/>
        <v>0</v>
      </c>
      <c r="AI103" s="20">
        <f t="shared" si="44"/>
        <v>160</v>
      </c>
      <c r="AJ103" s="20">
        <f t="shared" si="45"/>
        <v>160</v>
      </c>
      <c r="CH103" s="20" t="s">
        <v>164</v>
      </c>
      <c r="CI103" s="20" t="s">
        <v>78</v>
      </c>
      <c r="CJ103" s="20">
        <f>1*285</f>
        <v>285</v>
      </c>
      <c r="CK103" s="20">
        <f t="shared" si="36"/>
        <v>285</v>
      </c>
      <c r="CL103" s="20">
        <f t="shared" si="35"/>
        <v>282.02979639867669</v>
      </c>
    </row>
    <row r="104" spans="1:90">
      <c r="A104" s="20" t="s">
        <v>551</v>
      </c>
      <c r="B104" s="20" t="s">
        <v>227</v>
      </c>
      <c r="C104" s="20" t="s">
        <v>113</v>
      </c>
      <c r="D104" s="20">
        <v>1000</v>
      </c>
      <c r="E104" s="20">
        <v>1000</v>
      </c>
      <c r="F104" s="20">
        <v>30</v>
      </c>
      <c r="J104" s="20">
        <v>20</v>
      </c>
      <c r="M104" s="20">
        <v>10</v>
      </c>
      <c r="V104" s="20" t="s">
        <v>11</v>
      </c>
      <c r="W104" s="20">
        <f t="shared" si="39"/>
        <v>40</v>
      </c>
      <c r="X104" s="20">
        <f t="shared" si="39"/>
        <v>0</v>
      </c>
      <c r="Y104" s="20">
        <f t="shared" si="39"/>
        <v>0</v>
      </c>
      <c r="Z104" s="20">
        <f t="shared" si="39"/>
        <v>0</v>
      </c>
      <c r="AA104" s="20">
        <f t="shared" si="40"/>
        <v>0</v>
      </c>
      <c r="AB104" s="20">
        <v>40</v>
      </c>
      <c r="AF104" s="20">
        <f t="shared" si="41"/>
        <v>160</v>
      </c>
      <c r="AG104" s="20">
        <f t="shared" si="42"/>
        <v>0</v>
      </c>
      <c r="AH104" s="20">
        <f t="shared" si="43"/>
        <v>0</v>
      </c>
      <c r="AI104" s="20">
        <f t="shared" si="44"/>
        <v>160</v>
      </c>
      <c r="AJ104" s="20">
        <f t="shared" si="45"/>
        <v>160</v>
      </c>
      <c r="CH104" s="20" t="s">
        <v>115</v>
      </c>
      <c r="CI104" s="20" t="s">
        <v>106</v>
      </c>
      <c r="CJ104" s="20">
        <f>0.9*285</f>
        <v>256.5</v>
      </c>
      <c r="CK104" s="20">
        <f t="shared" si="36"/>
        <v>256.5</v>
      </c>
      <c r="CL104" s="20">
        <f t="shared" si="35"/>
        <v>282.02979639867669</v>
      </c>
    </row>
    <row r="106" spans="1:90">
      <c r="B106" s="20" t="s">
        <v>351</v>
      </c>
    </row>
    <row r="107" spans="1:90">
      <c r="A107" s="20" t="s">
        <v>542</v>
      </c>
      <c r="B107" s="20" t="s">
        <v>352</v>
      </c>
      <c r="D107" s="20">
        <v>1</v>
      </c>
      <c r="E107" s="20">
        <v>1</v>
      </c>
      <c r="F107" s="20">
        <f>100/($F$3+$J$3)</f>
        <v>1.7111567419575633</v>
      </c>
      <c r="J107" s="20">
        <f>100/($F$3+$J$3)</f>
        <v>1.7111567419575633</v>
      </c>
      <c r="CH107" s="20" t="s">
        <v>1046</v>
      </c>
      <c r="CI107" s="20" t="s">
        <v>1045</v>
      </c>
      <c r="CJ107" s="20">
        <f>(10.6+11.6)/2*285</f>
        <v>3163.5</v>
      </c>
      <c r="CK107" s="20">
        <f t="shared" si="36"/>
        <v>3.1635</v>
      </c>
      <c r="CL107" s="20">
        <f t="shared" si="35"/>
        <v>3.4223134839151266</v>
      </c>
    </row>
    <row r="108" spans="1:90">
      <c r="A108" s="20" t="s">
        <v>542</v>
      </c>
      <c r="B108" s="20" t="s">
        <v>353</v>
      </c>
      <c r="D108" s="20">
        <v>1</v>
      </c>
      <c r="E108" s="20">
        <v>1</v>
      </c>
      <c r="F108" s="20">
        <v>1</v>
      </c>
      <c r="J108" s="20">
        <v>1</v>
      </c>
      <c r="CH108" s="20" t="s">
        <v>1051</v>
      </c>
      <c r="CI108" t="s">
        <v>307</v>
      </c>
      <c r="CJ108" s="20">
        <f>7*285</f>
        <v>1995</v>
      </c>
      <c r="CK108" s="20">
        <f t="shared" si="36"/>
        <v>1.9950000000000001</v>
      </c>
      <c r="CL108" s="20">
        <f t="shared" si="35"/>
        <v>2</v>
      </c>
    </row>
    <row r="109" spans="1:90">
      <c r="A109" s="20" t="s">
        <v>542</v>
      </c>
      <c r="B109" s="20" t="s">
        <v>354</v>
      </c>
      <c r="D109" s="20">
        <v>1</v>
      </c>
      <c r="E109" s="20">
        <v>1</v>
      </c>
      <c r="G109" s="20">
        <v>1</v>
      </c>
      <c r="J109" s="20">
        <v>1</v>
      </c>
      <c r="CH109" s="20" t="s">
        <v>1056</v>
      </c>
      <c r="CI109" t="s">
        <v>307</v>
      </c>
      <c r="CJ109" s="20">
        <f>7*285</f>
        <v>1995</v>
      </c>
      <c r="CK109" s="20">
        <f t="shared" si="36"/>
        <v>1.9950000000000001</v>
      </c>
      <c r="CL109" s="20">
        <f t="shared" si="35"/>
        <v>2</v>
      </c>
    </row>
    <row r="110" spans="1:90">
      <c r="A110" s="20" t="s">
        <v>542</v>
      </c>
      <c r="B110" s="20" t="s">
        <v>355</v>
      </c>
      <c r="D110" s="20">
        <v>1</v>
      </c>
      <c r="E110" s="20">
        <v>1</v>
      </c>
      <c r="G110" s="20">
        <v>2</v>
      </c>
      <c r="J110" s="20">
        <v>2</v>
      </c>
      <c r="CH110" s="20" t="s">
        <v>1057</v>
      </c>
      <c r="CI110" s="20" t="s">
        <v>1058</v>
      </c>
      <c r="CJ110" s="20">
        <f>6*285</f>
        <v>1710</v>
      </c>
      <c r="CK110" s="20">
        <f t="shared" si="36"/>
        <v>1.71</v>
      </c>
      <c r="CL110" s="20">
        <f t="shared" si="35"/>
        <v>4</v>
      </c>
    </row>
    <row r="111" spans="1:90">
      <c r="A111" s="20" t="s">
        <v>542</v>
      </c>
      <c r="B111" s="20" t="s">
        <v>356</v>
      </c>
      <c r="D111" s="20">
        <v>1</v>
      </c>
      <c r="E111" s="20">
        <v>1</v>
      </c>
      <c r="G111" s="20">
        <v>0.4</v>
      </c>
      <c r="J111" s="20">
        <v>0.4</v>
      </c>
      <c r="CH111" s="20" t="s">
        <v>1059</v>
      </c>
      <c r="CI111" s="20" t="s">
        <v>1060</v>
      </c>
      <c r="CJ111" s="20">
        <f>2*285</f>
        <v>570</v>
      </c>
      <c r="CK111" s="20">
        <f t="shared" si="36"/>
        <v>0.56999999999999995</v>
      </c>
      <c r="CL111" s="20">
        <f t="shared" si="35"/>
        <v>0.8</v>
      </c>
    </row>
    <row r="112" spans="1:90">
      <c r="A112" s="20" t="s">
        <v>542</v>
      </c>
      <c r="B112" s="20" t="s">
        <v>357</v>
      </c>
      <c r="D112" s="20">
        <v>1</v>
      </c>
      <c r="E112" s="20">
        <v>1</v>
      </c>
      <c r="G112" s="20">
        <v>1</v>
      </c>
      <c r="BD112" s="20">
        <f>1*BD$3/1000</f>
        <v>0.1331</v>
      </c>
      <c r="CH112" s="20" t="s">
        <v>1061</v>
      </c>
      <c r="CI112" t="s">
        <v>84</v>
      </c>
      <c r="CJ112" s="20">
        <f>6*285</f>
        <v>1710</v>
      </c>
      <c r="CK112" s="20">
        <f t="shared" si="36"/>
        <v>1.71</v>
      </c>
      <c r="CL112" s="20">
        <f t="shared" si="35"/>
        <v>1.0009999999999999</v>
      </c>
    </row>
    <row r="113" spans="1:91">
      <c r="A113" s="20" t="s">
        <v>542</v>
      </c>
      <c r="B113" s="20" t="s">
        <v>358</v>
      </c>
      <c r="C113" s="20" t="s">
        <v>1062</v>
      </c>
      <c r="D113" s="20">
        <v>10</v>
      </c>
      <c r="E113" s="20">
        <v>10</v>
      </c>
      <c r="G113" s="20">
        <v>2.92</v>
      </c>
      <c r="I113" s="20">
        <v>3.47</v>
      </c>
      <c r="BD113" s="20">
        <f>(2.92+3.47)*BD$3/1000</f>
        <v>0.85050899999999996</v>
      </c>
      <c r="CH113" s="20" t="s">
        <v>1061</v>
      </c>
      <c r="CI113" s="20" t="s">
        <v>1043</v>
      </c>
      <c r="CJ113" s="20">
        <f>3*285</f>
        <v>855</v>
      </c>
      <c r="CK113" s="20">
        <f t="shared" si="36"/>
        <v>8.5500000000000007</v>
      </c>
      <c r="CL113" s="20">
        <f t="shared" si="35"/>
        <v>6.3963900000000002</v>
      </c>
    </row>
    <row r="114" spans="1:91">
      <c r="A114" s="20" t="s">
        <v>542</v>
      </c>
      <c r="B114" s="20" t="s">
        <v>359</v>
      </c>
      <c r="D114" s="20">
        <v>1</v>
      </c>
      <c r="E114" s="20">
        <v>1</v>
      </c>
      <c r="I114" s="20">
        <v>1</v>
      </c>
      <c r="K114" s="20">
        <v>1</v>
      </c>
      <c r="CH114" s="20" t="s">
        <v>1065</v>
      </c>
      <c r="CI114" s="20" t="s">
        <v>1064</v>
      </c>
      <c r="CJ114" s="20">
        <f>2*285</f>
        <v>570</v>
      </c>
      <c r="CK114" s="20">
        <f t="shared" si="36"/>
        <v>0.56999999999999995</v>
      </c>
      <c r="CL114" s="20">
        <f t="shared" si="35"/>
        <v>2</v>
      </c>
    </row>
    <row r="115" spans="1:91">
      <c r="A115" s="20" t="s">
        <v>542</v>
      </c>
      <c r="B115" s="20" t="s">
        <v>360</v>
      </c>
      <c r="D115" s="20">
        <v>1</v>
      </c>
      <c r="E115" s="20">
        <v>1</v>
      </c>
      <c r="F115" s="20">
        <v>0.75</v>
      </c>
      <c r="S115" s="20">
        <v>0.5</v>
      </c>
      <c r="CH115" s="20" t="s">
        <v>1066</v>
      </c>
      <c r="CI115" t="s">
        <v>190</v>
      </c>
      <c r="CJ115" s="20">
        <f>3*285</f>
        <v>855</v>
      </c>
      <c r="CK115" s="20">
        <f t="shared" si="36"/>
        <v>0.85499999999999998</v>
      </c>
      <c r="CL115" s="20">
        <f t="shared" si="35"/>
        <v>1.25</v>
      </c>
    </row>
    <row r="116" spans="1:91">
      <c r="A116" s="20" t="s">
        <v>542</v>
      </c>
      <c r="B116" s="20" t="s">
        <v>361</v>
      </c>
      <c r="D116" s="20">
        <v>1</v>
      </c>
      <c r="E116" s="20">
        <v>1</v>
      </c>
      <c r="G116" s="20">
        <v>1</v>
      </c>
      <c r="S116" s="20">
        <v>0.5</v>
      </c>
      <c r="CH116" s="20" t="s">
        <v>1069</v>
      </c>
      <c r="CI116" t="s">
        <v>82</v>
      </c>
      <c r="CJ116" s="20">
        <f>4*285</f>
        <v>1140</v>
      </c>
      <c r="CK116" s="20">
        <f t="shared" si="36"/>
        <v>1.1399999999999999</v>
      </c>
      <c r="CL116" s="20">
        <f t="shared" si="35"/>
        <v>1.5</v>
      </c>
    </row>
    <row r="117" spans="1:91">
      <c r="A117" s="20" t="s">
        <v>542</v>
      </c>
      <c r="B117" s="20" t="s">
        <v>362</v>
      </c>
      <c r="D117" s="20">
        <v>1</v>
      </c>
      <c r="E117" s="20">
        <v>1</v>
      </c>
      <c r="H117" s="20">
        <v>0.39</v>
      </c>
      <c r="P117" s="20">
        <v>0.39</v>
      </c>
      <c r="CH117" s="20" t="s">
        <v>1067</v>
      </c>
      <c r="CI117" s="20" t="s">
        <v>1068</v>
      </c>
      <c r="CJ117" s="20">
        <f>0.9*285</f>
        <v>256.5</v>
      </c>
      <c r="CK117" s="20">
        <f t="shared" si="36"/>
        <v>0.25650000000000001</v>
      </c>
      <c r="CL117" s="20">
        <f t="shared" si="35"/>
        <v>0.78</v>
      </c>
    </row>
    <row r="118" spans="1:91">
      <c r="A118" s="20" t="s">
        <v>542</v>
      </c>
      <c r="B118" s="20" t="s">
        <v>363</v>
      </c>
      <c r="D118" s="20">
        <v>1</v>
      </c>
      <c r="E118" s="20">
        <v>1</v>
      </c>
      <c r="H118" s="20">
        <v>1</v>
      </c>
      <c r="J118" s="20">
        <v>1</v>
      </c>
      <c r="CH118" s="20" t="s">
        <v>1070</v>
      </c>
      <c r="CI118" t="s">
        <v>243</v>
      </c>
      <c r="CJ118" s="20">
        <f>5*285</f>
        <v>1425</v>
      </c>
      <c r="CK118" s="20">
        <f t="shared" si="36"/>
        <v>1.425</v>
      </c>
      <c r="CL118" s="20">
        <f t="shared" si="35"/>
        <v>2</v>
      </c>
    </row>
    <row r="119" spans="1:91">
      <c r="A119" s="20" t="s">
        <v>542</v>
      </c>
      <c r="B119" s="20" t="s">
        <v>364</v>
      </c>
      <c r="D119" s="20">
        <v>1</v>
      </c>
      <c r="E119" s="20">
        <v>1</v>
      </c>
      <c r="H119" s="20">
        <v>0.36</v>
      </c>
      <c r="J119" s="20">
        <v>0.36</v>
      </c>
      <c r="CH119" s="20" t="s">
        <v>1070</v>
      </c>
      <c r="CI119" s="20" t="s">
        <v>1064</v>
      </c>
      <c r="CJ119" s="20">
        <f>2*285</f>
        <v>570</v>
      </c>
      <c r="CK119" s="20">
        <f t="shared" si="36"/>
        <v>0.56999999999999995</v>
      </c>
      <c r="CL119" s="20">
        <f t="shared" si="35"/>
        <v>0.72</v>
      </c>
    </row>
    <row r="120" spans="1:91">
      <c r="A120" s="20" t="s">
        <v>1071</v>
      </c>
      <c r="B120" s="20" t="s">
        <v>365</v>
      </c>
      <c r="D120" s="20">
        <v>1</v>
      </c>
      <c r="E120" s="20">
        <v>1</v>
      </c>
      <c r="J120" s="20">
        <v>5</v>
      </c>
      <c r="R120" s="20">
        <v>5</v>
      </c>
      <c r="CH120" s="20" t="s">
        <v>1072</v>
      </c>
      <c r="CI120" t="s">
        <v>1073</v>
      </c>
      <c r="CJ120" s="20">
        <f>32*285</f>
        <v>9120</v>
      </c>
      <c r="CK120" s="20">
        <f t="shared" si="36"/>
        <v>9.1199999999999992</v>
      </c>
      <c r="CL120" s="20">
        <f t="shared" si="35"/>
        <v>10</v>
      </c>
    </row>
    <row r="121" spans="1:91">
      <c r="A121" s="20" t="s">
        <v>542</v>
      </c>
      <c r="B121" s="20" t="s">
        <v>366</v>
      </c>
      <c r="D121" s="20">
        <v>1</v>
      </c>
      <c r="E121" s="20">
        <v>1</v>
      </c>
      <c r="F121" s="20">
        <v>1</v>
      </c>
      <c r="L121" s="20">
        <v>1</v>
      </c>
      <c r="CH121" s="20" t="s">
        <v>1074</v>
      </c>
      <c r="CI121" t="s">
        <v>84</v>
      </c>
      <c r="CJ121" s="20">
        <f>6*285</f>
        <v>1710</v>
      </c>
      <c r="CK121" s="20">
        <f t="shared" si="36"/>
        <v>1.71</v>
      </c>
      <c r="CL121" s="20">
        <f t="shared" si="35"/>
        <v>2</v>
      </c>
    </row>
    <row r="122" spans="1:91">
      <c r="A122" s="20" t="s">
        <v>542</v>
      </c>
      <c r="B122" s="20" t="s">
        <v>367</v>
      </c>
      <c r="D122" s="20">
        <v>1</v>
      </c>
      <c r="E122" s="20">
        <v>1</v>
      </c>
      <c r="F122" s="20">
        <v>0.83299999999999996</v>
      </c>
      <c r="L122" s="20">
        <v>0.83299999999999996</v>
      </c>
      <c r="CH122" s="20" t="s">
        <v>1074</v>
      </c>
      <c r="CI122" t="s">
        <v>243</v>
      </c>
      <c r="CJ122" s="20">
        <f>5*285</f>
        <v>1425</v>
      </c>
      <c r="CK122" s="20">
        <f t="shared" si="36"/>
        <v>1.425</v>
      </c>
      <c r="CL122" s="20">
        <f t="shared" si="35"/>
        <v>1.6659999999999999</v>
      </c>
    </row>
    <row r="123" spans="1:91">
      <c r="A123" s="20" t="s">
        <v>542</v>
      </c>
      <c r="B123" s="20" t="s">
        <v>368</v>
      </c>
      <c r="D123" s="20">
        <v>1</v>
      </c>
      <c r="E123" s="20">
        <v>1</v>
      </c>
      <c r="F123" s="20">
        <v>1</v>
      </c>
      <c r="M123" s="20">
        <v>1</v>
      </c>
      <c r="CH123" s="20" t="s">
        <v>1075</v>
      </c>
      <c r="CI123" t="s">
        <v>307</v>
      </c>
      <c r="CJ123" s="20">
        <f>7*285</f>
        <v>1995</v>
      </c>
      <c r="CK123" s="20">
        <f t="shared" si="36"/>
        <v>1.9950000000000001</v>
      </c>
      <c r="CL123" s="20">
        <f t="shared" si="35"/>
        <v>2</v>
      </c>
    </row>
    <row r="125" spans="1:91">
      <c r="B125" s="20" t="s">
        <v>537</v>
      </c>
    </row>
    <row r="126" spans="1:91">
      <c r="A126" s="20" t="s">
        <v>537</v>
      </c>
      <c r="B126" s="20" t="s">
        <v>229</v>
      </c>
      <c r="C126" s="20" t="s">
        <v>156</v>
      </c>
      <c r="D126" s="20">
        <v>200</v>
      </c>
      <c r="E126" s="20">
        <v>200</v>
      </c>
      <c r="F126" s="20">
        <v>0.3</v>
      </c>
      <c r="O126" s="20">
        <v>12</v>
      </c>
      <c r="AE126" s="20">
        <v>20</v>
      </c>
      <c r="AF126" s="20">
        <f t="shared" ref="AF126:AF138" si="46">AB126*4</f>
        <v>0</v>
      </c>
      <c r="AG126" s="20">
        <f t="shared" ref="AG126:AG138" si="47">AC126*9</f>
        <v>0</v>
      </c>
      <c r="AH126" s="20">
        <f t="shared" ref="AH126:AH138" si="48">AE126*4</f>
        <v>80</v>
      </c>
      <c r="AI126" s="20">
        <f t="shared" ref="AI126:AI138" si="49">SUM(AF126:AH126)</f>
        <v>80</v>
      </c>
      <c r="AJ126" s="20">
        <f t="shared" ref="AJ126:AJ138" si="50">SUM(AF126,AG126)</f>
        <v>0</v>
      </c>
      <c r="AM126" s="20">
        <v>2.5</v>
      </c>
      <c r="AN126" s="20">
        <v>1.1200000000000001</v>
      </c>
      <c r="AO126" s="20">
        <v>0.9</v>
      </c>
      <c r="AP126" s="20">
        <v>1.76</v>
      </c>
      <c r="AQ126" s="20">
        <v>1.3</v>
      </c>
      <c r="AR126" s="20">
        <v>0.26</v>
      </c>
      <c r="AS126" s="20">
        <v>0.7</v>
      </c>
      <c r="AT126" s="20">
        <v>1.87</v>
      </c>
      <c r="AU126" s="20">
        <v>0.2</v>
      </c>
      <c r="AW126" s="20">
        <v>7.0000000000000007E-2</v>
      </c>
      <c r="AX126" s="20">
        <v>1.2</v>
      </c>
      <c r="AY126" s="20">
        <v>1.58</v>
      </c>
      <c r="AZ126" s="20">
        <v>1.24</v>
      </c>
      <c r="BA126" s="20">
        <v>0.66</v>
      </c>
      <c r="BB126" s="20">
        <v>0.44</v>
      </c>
      <c r="BC126" s="20">
        <v>2.14</v>
      </c>
      <c r="BD126" s="20">
        <v>0.76</v>
      </c>
      <c r="BE126" s="20">
        <v>1.3</v>
      </c>
      <c r="BG126" s="20">
        <v>1.0900000000000001</v>
      </c>
      <c r="BH126" s="20">
        <v>3.04</v>
      </c>
      <c r="BI126" s="20">
        <v>22.6</v>
      </c>
      <c r="CH126" s="20" t="s">
        <v>129</v>
      </c>
      <c r="CI126" s="20" t="s">
        <v>190</v>
      </c>
      <c r="CJ126" s="20">
        <f>3*285</f>
        <v>855</v>
      </c>
      <c r="CK126" s="20">
        <f t="shared" si="36"/>
        <v>171</v>
      </c>
      <c r="CL126" s="20">
        <f t="shared" si="35"/>
        <v>12.461249490460302</v>
      </c>
      <c r="CM126" s="20" t="s">
        <v>230</v>
      </c>
    </row>
    <row r="127" spans="1:91">
      <c r="A127" s="20" t="s">
        <v>537</v>
      </c>
      <c r="B127" s="20" t="s">
        <v>231</v>
      </c>
      <c r="C127" s="20" t="s">
        <v>156</v>
      </c>
      <c r="D127" s="20">
        <v>200</v>
      </c>
      <c r="E127" s="20">
        <v>200</v>
      </c>
      <c r="F127" s="20">
        <v>0.57999999999999996</v>
      </c>
      <c r="O127" s="20">
        <v>16</v>
      </c>
      <c r="AE127" s="20">
        <v>20.07</v>
      </c>
      <c r="AF127" s="20">
        <f t="shared" si="46"/>
        <v>0</v>
      </c>
      <c r="AG127" s="20">
        <f t="shared" si="47"/>
        <v>0</v>
      </c>
      <c r="AH127" s="20">
        <f t="shared" si="48"/>
        <v>80.28</v>
      </c>
      <c r="AI127" s="20">
        <f t="shared" si="49"/>
        <v>80.28</v>
      </c>
      <c r="AJ127" s="20">
        <f t="shared" si="50"/>
        <v>0</v>
      </c>
      <c r="AM127" s="20">
        <v>2.58</v>
      </c>
      <c r="AN127" s="20">
        <v>1.82</v>
      </c>
      <c r="AO127" s="20">
        <v>2.8</v>
      </c>
      <c r="AP127" s="20">
        <v>1.419</v>
      </c>
      <c r="AQ127" s="20">
        <v>1.5</v>
      </c>
      <c r="AR127" s="20">
        <v>0.26</v>
      </c>
      <c r="AS127" s="20">
        <v>0.88</v>
      </c>
      <c r="AT127" s="20">
        <v>1.4</v>
      </c>
      <c r="AU127" s="20">
        <v>7.0000000000000007E-2</v>
      </c>
      <c r="AW127" s="20">
        <v>0.08</v>
      </c>
      <c r="AX127" s="20">
        <v>1</v>
      </c>
      <c r="AY127" s="20">
        <v>1.8</v>
      </c>
      <c r="AZ127" s="20">
        <v>1.42</v>
      </c>
      <c r="BA127" s="20">
        <v>1</v>
      </c>
      <c r="BB127" s="20">
        <v>0.34</v>
      </c>
      <c r="BC127" s="20">
        <v>1.4</v>
      </c>
      <c r="BD127" s="20">
        <v>0.2</v>
      </c>
      <c r="BE127" s="20">
        <v>0.1</v>
      </c>
      <c r="BG127" s="20">
        <v>1.71</v>
      </c>
      <c r="BH127" s="20">
        <v>3.04</v>
      </c>
      <c r="BI127" s="20">
        <v>35.9</v>
      </c>
      <c r="CH127" s="20" t="s">
        <v>157</v>
      </c>
      <c r="CI127" s="20" t="s">
        <v>190</v>
      </c>
      <c r="CJ127" s="20">
        <f>3*285</f>
        <v>855</v>
      </c>
      <c r="CK127" s="20">
        <f t="shared" si="36"/>
        <v>171</v>
      </c>
      <c r="CL127" s="20">
        <f t="shared" si="35"/>
        <v>16.741879274095272</v>
      </c>
      <c r="CM127" s="20" t="s">
        <v>232</v>
      </c>
    </row>
    <row r="128" spans="1:91">
      <c r="A128" s="20" t="s">
        <v>537</v>
      </c>
      <c r="B128" s="20" t="s">
        <v>233</v>
      </c>
      <c r="C128" s="20" t="s">
        <v>156</v>
      </c>
      <c r="D128" s="20">
        <v>200</v>
      </c>
      <c r="E128" s="20">
        <v>200</v>
      </c>
      <c r="F128" s="20">
        <v>3.6</v>
      </c>
      <c r="J128" s="20">
        <v>36.4</v>
      </c>
      <c r="AE128" s="20">
        <v>16.864000000000001</v>
      </c>
      <c r="AF128" s="20">
        <f t="shared" si="46"/>
        <v>0</v>
      </c>
      <c r="AG128" s="20">
        <f t="shared" si="47"/>
        <v>0</v>
      </c>
      <c r="AH128" s="20">
        <f t="shared" si="48"/>
        <v>67.456000000000003</v>
      </c>
      <c r="AI128" s="20">
        <f t="shared" si="49"/>
        <v>67.456000000000003</v>
      </c>
      <c r="AJ128" s="20">
        <f t="shared" si="50"/>
        <v>0</v>
      </c>
      <c r="AM128" s="20">
        <v>2.46</v>
      </c>
      <c r="AN128" s="20">
        <v>1.1000000000000001</v>
      </c>
      <c r="AO128" s="20">
        <v>1.22</v>
      </c>
      <c r="AP128" s="20">
        <v>3.5680000000000001</v>
      </c>
      <c r="AQ128" s="20">
        <v>1.08</v>
      </c>
      <c r="AR128" s="20">
        <v>0.36</v>
      </c>
      <c r="AS128" s="20">
        <v>1.42</v>
      </c>
      <c r="AT128" s="20">
        <v>1.74</v>
      </c>
      <c r="AU128" s="20">
        <v>7.5999999999999998E-2</v>
      </c>
      <c r="AX128" s="20">
        <v>0.59199999999999997</v>
      </c>
      <c r="AY128" s="20">
        <v>1.3280000000000001</v>
      </c>
      <c r="BC128" s="20">
        <v>2</v>
      </c>
      <c r="BG128" s="20">
        <v>3.3</v>
      </c>
      <c r="BH128" s="20">
        <v>2.62</v>
      </c>
      <c r="BI128" s="20">
        <v>28.3</v>
      </c>
      <c r="CH128" s="20" t="s">
        <v>234</v>
      </c>
      <c r="CI128" s="20" t="s">
        <v>190</v>
      </c>
      <c r="CJ128" s="20">
        <f>3*285</f>
        <v>855</v>
      </c>
      <c r="CK128" s="20">
        <f t="shared" si="36"/>
        <v>171</v>
      </c>
      <c r="CL128" s="20">
        <f t="shared" si="35"/>
        <v>40.131548419608215</v>
      </c>
      <c r="CM128" s="20" t="s">
        <v>235</v>
      </c>
    </row>
    <row r="129" spans="1:91">
      <c r="A129" s="20" t="s">
        <v>537</v>
      </c>
      <c r="B129" s="20" t="s">
        <v>236</v>
      </c>
      <c r="C129" s="20" t="s">
        <v>96</v>
      </c>
      <c r="D129" s="20">
        <v>400</v>
      </c>
      <c r="E129" s="20">
        <v>400</v>
      </c>
      <c r="F129" s="20">
        <v>0.8</v>
      </c>
      <c r="O129" s="20">
        <v>48</v>
      </c>
      <c r="AE129" s="20">
        <v>40</v>
      </c>
      <c r="AF129" s="20">
        <f t="shared" si="46"/>
        <v>0</v>
      </c>
      <c r="AG129" s="20">
        <f t="shared" si="47"/>
        <v>0</v>
      </c>
      <c r="AH129" s="20">
        <f t="shared" si="48"/>
        <v>160</v>
      </c>
      <c r="AI129" s="20">
        <f t="shared" si="49"/>
        <v>160</v>
      </c>
      <c r="AJ129" s="20">
        <f t="shared" si="50"/>
        <v>0</v>
      </c>
      <c r="AM129" s="20">
        <v>5.6</v>
      </c>
      <c r="AN129" s="20">
        <v>3.2</v>
      </c>
      <c r="AO129" s="20">
        <v>3.2</v>
      </c>
      <c r="AP129" s="20">
        <v>4.2</v>
      </c>
      <c r="AQ129" s="20">
        <v>2.2799999999999998</v>
      </c>
      <c r="AR129" s="20">
        <v>0.8</v>
      </c>
      <c r="AS129" s="20">
        <v>1.56</v>
      </c>
      <c r="AT129" s="20">
        <v>2.8</v>
      </c>
      <c r="AU129" s="20">
        <v>0.4</v>
      </c>
      <c r="AW129" s="20">
        <v>0.2</v>
      </c>
      <c r="AX129" s="20">
        <v>2</v>
      </c>
      <c r="AY129" s="20">
        <v>4.2</v>
      </c>
      <c r="AZ129" s="20">
        <v>3.2</v>
      </c>
      <c r="BA129" s="20">
        <v>2</v>
      </c>
      <c r="BB129" s="20">
        <v>1.2</v>
      </c>
      <c r="BC129" s="20">
        <v>2.36</v>
      </c>
      <c r="BD129" s="20">
        <v>0.4</v>
      </c>
      <c r="BE129" s="20">
        <v>0.4</v>
      </c>
      <c r="BG129" s="20">
        <v>1.44</v>
      </c>
      <c r="BH129" s="20">
        <v>6.27</v>
      </c>
      <c r="BI129" s="20">
        <v>30</v>
      </c>
      <c r="CH129" s="20" t="s">
        <v>136</v>
      </c>
      <c r="CI129" s="20" t="s">
        <v>190</v>
      </c>
      <c r="CJ129" s="20">
        <f>3*285</f>
        <v>855</v>
      </c>
      <c r="CK129" s="20">
        <f t="shared" si="36"/>
        <v>342</v>
      </c>
      <c r="CL129" s="20">
        <f t="shared" si="35"/>
        <v>49.11687306618343</v>
      </c>
      <c r="CM129" s="20" t="s">
        <v>237</v>
      </c>
    </row>
    <row r="130" spans="1:91">
      <c r="A130" s="20" t="s">
        <v>537</v>
      </c>
      <c r="B130" s="20" t="s">
        <v>238</v>
      </c>
      <c r="C130" s="20" t="s">
        <v>113</v>
      </c>
      <c r="D130" s="20">
        <v>200</v>
      </c>
      <c r="E130" s="20">
        <v>200</v>
      </c>
      <c r="AE130" s="20">
        <v>20</v>
      </c>
      <c r="AF130" s="20">
        <f t="shared" si="46"/>
        <v>0</v>
      </c>
      <c r="AG130" s="20">
        <f t="shared" si="47"/>
        <v>0</v>
      </c>
      <c r="AH130" s="20">
        <f t="shared" si="48"/>
        <v>80</v>
      </c>
      <c r="AI130" s="20">
        <f t="shared" si="49"/>
        <v>80</v>
      </c>
      <c r="AJ130" s="20">
        <f t="shared" si="50"/>
        <v>0</v>
      </c>
      <c r="AM130" s="20">
        <v>2.7</v>
      </c>
      <c r="AN130" s="20">
        <v>1.7</v>
      </c>
      <c r="AO130" s="20">
        <v>1.8</v>
      </c>
      <c r="AP130" s="20">
        <v>1.6</v>
      </c>
      <c r="AQ130" s="20">
        <v>0.96</v>
      </c>
      <c r="AR130" s="20">
        <v>0.32</v>
      </c>
      <c r="AS130" s="20">
        <v>0.78</v>
      </c>
      <c r="AT130" s="20">
        <v>1.54</v>
      </c>
      <c r="AU130" s="20">
        <v>0.2</v>
      </c>
      <c r="AW130" s="20">
        <v>0.1</v>
      </c>
      <c r="AX130" s="20">
        <v>0.94</v>
      </c>
      <c r="AY130" s="20">
        <v>2.2200000000000002</v>
      </c>
      <c r="AZ130" s="20">
        <v>1.72</v>
      </c>
      <c r="BA130" s="20">
        <v>1.28</v>
      </c>
      <c r="BB130" s="20">
        <v>0.84</v>
      </c>
      <c r="BC130" s="20">
        <v>1.1000000000000001</v>
      </c>
      <c r="BD130" s="20">
        <v>0.1</v>
      </c>
      <c r="BE130" s="20">
        <v>0.1</v>
      </c>
      <c r="BG130" s="20">
        <v>1.33</v>
      </c>
      <c r="BH130" s="20">
        <v>3.12</v>
      </c>
      <c r="BI130" s="20">
        <v>31</v>
      </c>
      <c r="CH130" s="20" t="s">
        <v>239</v>
      </c>
      <c r="CI130" s="20" t="s">
        <v>190</v>
      </c>
      <c r="CJ130" s="20">
        <f>3*285</f>
        <v>855</v>
      </c>
      <c r="CK130" s="20">
        <f t="shared" si="36"/>
        <v>171</v>
      </c>
      <c r="CL130" s="20">
        <f t="shared" si="35"/>
        <v>0.15953647755226699</v>
      </c>
      <c r="CM130" s="20" t="s">
        <v>240</v>
      </c>
    </row>
    <row r="131" spans="1:91">
      <c r="A131" s="20" t="s">
        <v>537</v>
      </c>
      <c r="B131" s="20" t="s">
        <v>241</v>
      </c>
      <c r="C131" s="20" t="s">
        <v>113</v>
      </c>
      <c r="D131" s="20">
        <v>200</v>
      </c>
      <c r="E131" s="20">
        <v>200</v>
      </c>
      <c r="F131" s="20">
        <v>30</v>
      </c>
      <c r="J131" s="20">
        <v>30</v>
      </c>
      <c r="AE131" s="20">
        <v>22.724</v>
      </c>
      <c r="AF131" s="20">
        <f t="shared" si="46"/>
        <v>0</v>
      </c>
      <c r="AG131" s="20">
        <f t="shared" si="47"/>
        <v>0</v>
      </c>
      <c r="AH131" s="20">
        <f t="shared" si="48"/>
        <v>90.896000000000001</v>
      </c>
      <c r="AI131" s="20">
        <f t="shared" si="49"/>
        <v>90.896000000000001</v>
      </c>
      <c r="AJ131" s="20">
        <f t="shared" si="50"/>
        <v>0</v>
      </c>
      <c r="AM131" s="20">
        <v>2.2759999999999998</v>
      </c>
      <c r="AN131" s="20">
        <v>1.194</v>
      </c>
      <c r="AO131" s="20">
        <v>1.38</v>
      </c>
      <c r="AP131" s="20">
        <f>1.96*146.19/182.65</f>
        <v>1.5687511634273199</v>
      </c>
      <c r="AQ131" s="20">
        <v>1.008</v>
      </c>
      <c r="AR131" s="20">
        <v>0.374</v>
      </c>
      <c r="AS131" s="20">
        <v>0.86599999999999999</v>
      </c>
      <c r="AT131" s="20">
        <v>1.948</v>
      </c>
      <c r="AV131" s="20">
        <v>4.5999999999999999E-2</v>
      </c>
      <c r="AW131" s="20">
        <v>0.114</v>
      </c>
      <c r="AX131" s="20">
        <v>1.04135</v>
      </c>
      <c r="AY131" s="20">
        <f>2.976*0.83</f>
        <v>2.4700799999999998</v>
      </c>
      <c r="AZ131" s="20">
        <v>1.6419999999999999</v>
      </c>
      <c r="BA131" s="20">
        <v>2.1259999999999999</v>
      </c>
      <c r="BB131" s="20">
        <v>0.93400000000000005</v>
      </c>
      <c r="BC131" s="20">
        <v>3.1360000000000001</v>
      </c>
      <c r="BD131" s="20">
        <v>0.40400000000000003</v>
      </c>
      <c r="BE131" s="20">
        <v>0.20399999999999999</v>
      </c>
      <c r="BG131" s="20">
        <v>0.88</v>
      </c>
      <c r="BH131" s="20">
        <v>3.63</v>
      </c>
      <c r="BI131" s="20">
        <v>21.3</v>
      </c>
      <c r="CH131" s="20" t="s">
        <v>242</v>
      </c>
      <c r="CI131" s="20" t="s">
        <v>243</v>
      </c>
      <c r="CJ131" s="20">
        <f>5*285</f>
        <v>1425</v>
      </c>
      <c r="CK131" s="20">
        <f t="shared" si="36"/>
        <v>285</v>
      </c>
      <c r="CL131" s="20">
        <f t="shared" si="35"/>
        <v>60.190547344558532</v>
      </c>
      <c r="CM131" s="20" t="s">
        <v>244</v>
      </c>
    </row>
    <row r="132" spans="1:91">
      <c r="A132" s="20" t="s">
        <v>537</v>
      </c>
      <c r="B132" s="20" t="s">
        <v>245</v>
      </c>
      <c r="C132" s="20" t="s">
        <v>246</v>
      </c>
      <c r="D132" s="20">
        <v>200</v>
      </c>
      <c r="E132" s="20">
        <v>200</v>
      </c>
      <c r="F132" s="20">
        <v>0.4</v>
      </c>
      <c r="O132" s="20">
        <v>9.4</v>
      </c>
      <c r="AE132" s="20">
        <v>11.8</v>
      </c>
      <c r="AF132" s="20">
        <f t="shared" si="46"/>
        <v>0</v>
      </c>
      <c r="AG132" s="20">
        <f t="shared" si="47"/>
        <v>0</v>
      </c>
      <c r="AH132" s="20">
        <f t="shared" si="48"/>
        <v>47.2</v>
      </c>
      <c r="AI132" s="20">
        <f t="shared" si="49"/>
        <v>47.2</v>
      </c>
      <c r="AJ132" s="20">
        <f t="shared" si="50"/>
        <v>0</v>
      </c>
      <c r="AM132" s="20">
        <v>2</v>
      </c>
      <c r="AN132" s="20">
        <v>1.5</v>
      </c>
      <c r="AO132" s="20">
        <v>1.5</v>
      </c>
      <c r="AP132" s="20">
        <v>0.99399999999999999</v>
      </c>
      <c r="AQ132" s="20">
        <v>0.5</v>
      </c>
      <c r="AR132" s="20">
        <v>0.5</v>
      </c>
      <c r="AS132" s="20">
        <v>1</v>
      </c>
      <c r="AT132" s="20">
        <v>1</v>
      </c>
      <c r="AU132" s="20">
        <v>0.05</v>
      </c>
      <c r="AV132" s="20">
        <v>0.1</v>
      </c>
      <c r="AW132" s="20">
        <v>0.5</v>
      </c>
      <c r="AX132" s="20">
        <v>0.6</v>
      </c>
      <c r="AY132" s="20">
        <v>0.6</v>
      </c>
      <c r="AZ132" s="20">
        <v>0.4</v>
      </c>
      <c r="BA132" s="20">
        <v>0.2</v>
      </c>
      <c r="BB132" s="20">
        <v>0.3</v>
      </c>
      <c r="BC132" s="20">
        <v>0.05</v>
      </c>
      <c r="BD132" s="20">
        <v>0.05</v>
      </c>
      <c r="BG132" s="20">
        <v>3.21</v>
      </c>
      <c r="BH132" s="20">
        <v>1.62</v>
      </c>
      <c r="BI132" s="20">
        <v>42.4</v>
      </c>
      <c r="CH132" s="20" t="s">
        <v>247</v>
      </c>
      <c r="CI132" s="20" t="s">
        <v>80</v>
      </c>
      <c r="CJ132" s="20">
        <f>2*285</f>
        <v>570</v>
      </c>
      <c r="CK132" s="20">
        <f t="shared" si="36"/>
        <v>114</v>
      </c>
      <c r="CL132" s="20">
        <f t="shared" si="35"/>
        <v>9.8867109726028879</v>
      </c>
      <c r="CM132" s="20" t="s">
        <v>248</v>
      </c>
    </row>
    <row r="133" spans="1:91">
      <c r="A133" s="20" t="s">
        <v>537</v>
      </c>
      <c r="B133" s="20" t="s">
        <v>249</v>
      </c>
      <c r="C133" s="20" t="s">
        <v>96</v>
      </c>
      <c r="D133" s="20">
        <v>300</v>
      </c>
      <c r="E133" s="20">
        <v>300</v>
      </c>
      <c r="F133" s="20">
        <v>0.6</v>
      </c>
      <c r="O133" s="20">
        <v>14</v>
      </c>
      <c r="AE133" s="20">
        <v>21.61</v>
      </c>
      <c r="AF133" s="20">
        <f t="shared" si="46"/>
        <v>0</v>
      </c>
      <c r="AG133" s="20">
        <f t="shared" si="47"/>
        <v>0</v>
      </c>
      <c r="AH133" s="20">
        <f t="shared" si="48"/>
        <v>86.44</v>
      </c>
      <c r="AI133" s="20">
        <f t="shared" si="49"/>
        <v>86.44</v>
      </c>
      <c r="AJ133" s="20">
        <f t="shared" si="50"/>
        <v>0</v>
      </c>
      <c r="AM133" s="20">
        <v>4.2</v>
      </c>
      <c r="AN133" s="20">
        <v>2.7</v>
      </c>
      <c r="AO133" s="20">
        <v>3</v>
      </c>
      <c r="AP133" s="20">
        <v>1.51</v>
      </c>
      <c r="AQ133" s="20">
        <v>1.05</v>
      </c>
      <c r="AR133" s="20">
        <v>0.75</v>
      </c>
      <c r="AS133" s="20">
        <v>0.9</v>
      </c>
      <c r="AT133" s="20">
        <v>1.5</v>
      </c>
      <c r="AU133" s="20">
        <v>0.3</v>
      </c>
      <c r="AV133" s="20">
        <v>0.15</v>
      </c>
      <c r="AW133" s="20">
        <v>1.05</v>
      </c>
      <c r="AX133" s="20">
        <v>1.35</v>
      </c>
      <c r="AY133" s="20">
        <v>0.75</v>
      </c>
      <c r="AZ133" s="20">
        <v>0.9</v>
      </c>
      <c r="BA133" s="20">
        <v>0.9</v>
      </c>
      <c r="BC133" s="20">
        <v>0.3</v>
      </c>
      <c r="BD133" s="20">
        <v>0.3</v>
      </c>
      <c r="BG133" s="20">
        <v>2.6</v>
      </c>
      <c r="BH133" s="20">
        <v>3</v>
      </c>
      <c r="BI133" s="20">
        <v>45.8</v>
      </c>
      <c r="CH133" s="20" t="s">
        <v>136</v>
      </c>
      <c r="CI133" s="20" t="s">
        <v>80</v>
      </c>
      <c r="CJ133" s="20">
        <f>2*285</f>
        <v>570</v>
      </c>
      <c r="CK133" s="20">
        <f t="shared" si="36"/>
        <v>171</v>
      </c>
      <c r="CL133" s="20">
        <f t="shared" si="35"/>
        <v>14.762211468874776</v>
      </c>
      <c r="CM133" s="20" t="s">
        <v>250</v>
      </c>
    </row>
    <row r="134" spans="1:91">
      <c r="A134" s="20" t="s">
        <v>537</v>
      </c>
      <c r="B134" s="20" t="s">
        <v>251</v>
      </c>
      <c r="C134" s="20" t="s">
        <v>252</v>
      </c>
      <c r="D134" s="20">
        <v>500</v>
      </c>
      <c r="E134" s="20">
        <v>500</v>
      </c>
      <c r="F134" s="20">
        <v>1.5</v>
      </c>
      <c r="O134" s="20">
        <v>50</v>
      </c>
      <c r="AE134" s="20">
        <v>37.35</v>
      </c>
      <c r="AF134" s="20">
        <f t="shared" si="46"/>
        <v>0</v>
      </c>
      <c r="AG134" s="20">
        <f t="shared" si="47"/>
        <v>0</v>
      </c>
      <c r="AH134" s="20">
        <f t="shared" si="48"/>
        <v>149.4</v>
      </c>
      <c r="AI134" s="20">
        <f t="shared" si="49"/>
        <v>149.4</v>
      </c>
      <c r="AJ134" s="20">
        <f t="shared" si="50"/>
        <v>0</v>
      </c>
      <c r="AM134" s="20">
        <v>4.7249999999999996</v>
      </c>
      <c r="AN134" s="20">
        <v>4.5999999999999996</v>
      </c>
      <c r="AO134" s="20">
        <v>4.45</v>
      </c>
      <c r="AP134" s="20">
        <v>1.4</v>
      </c>
      <c r="AQ134" s="20">
        <v>1.07</v>
      </c>
      <c r="AR134" s="20">
        <v>0.35</v>
      </c>
      <c r="AS134" s="20">
        <v>0.22</v>
      </c>
      <c r="AT134" s="20">
        <v>0.15</v>
      </c>
      <c r="AU134" s="20">
        <v>0.125</v>
      </c>
      <c r="AW134" s="20">
        <v>0.2</v>
      </c>
      <c r="AX134" s="20">
        <v>1.55</v>
      </c>
      <c r="AY134" s="20">
        <v>7.6849999999999996</v>
      </c>
      <c r="AZ134" s="20">
        <v>4.2</v>
      </c>
      <c r="BA134" s="20">
        <v>2.65</v>
      </c>
      <c r="BB134" s="20">
        <v>1.3</v>
      </c>
      <c r="BC134" s="20">
        <v>2.7</v>
      </c>
      <c r="BD134" s="20">
        <v>0.1</v>
      </c>
      <c r="BG134" s="20">
        <v>0.83</v>
      </c>
      <c r="BH134" s="20">
        <v>6.59</v>
      </c>
      <c r="BI134" s="20">
        <v>36.9</v>
      </c>
      <c r="CH134" s="20" t="s">
        <v>247</v>
      </c>
      <c r="CI134" s="20" t="s">
        <v>190</v>
      </c>
      <c r="CJ134" s="20">
        <f>3*285</f>
        <v>855</v>
      </c>
      <c r="CK134" s="20">
        <f t="shared" si="36"/>
        <v>427.5</v>
      </c>
      <c r="CL134" s="20">
        <f t="shared" si="35"/>
        <v>51.807222477784961</v>
      </c>
      <c r="CM134" s="20" t="s">
        <v>253</v>
      </c>
    </row>
    <row r="135" spans="1:91">
      <c r="A135" s="20" t="s">
        <v>537</v>
      </c>
      <c r="B135" s="20" t="s">
        <v>254</v>
      </c>
      <c r="C135" s="20" t="s">
        <v>96</v>
      </c>
      <c r="D135" s="20">
        <v>500</v>
      </c>
      <c r="E135" s="20">
        <v>500</v>
      </c>
      <c r="F135" s="20">
        <v>7</v>
      </c>
      <c r="J135" s="20">
        <v>47</v>
      </c>
      <c r="AE135" s="20">
        <v>39.93</v>
      </c>
      <c r="AF135" s="20">
        <f t="shared" si="46"/>
        <v>0</v>
      </c>
      <c r="AG135" s="20">
        <f t="shared" si="47"/>
        <v>0</v>
      </c>
      <c r="AH135" s="20">
        <f t="shared" si="48"/>
        <v>159.72</v>
      </c>
      <c r="AI135" s="20">
        <f t="shared" si="49"/>
        <v>159.72</v>
      </c>
      <c r="AJ135" s="20">
        <f t="shared" si="50"/>
        <v>0</v>
      </c>
      <c r="AM135" s="20">
        <v>5.5</v>
      </c>
      <c r="AN135" s="20">
        <v>4.5</v>
      </c>
      <c r="AO135" s="20">
        <v>4.2</v>
      </c>
      <c r="AP135" s="20">
        <v>3.04</v>
      </c>
      <c r="AQ135" s="20">
        <v>2.25</v>
      </c>
      <c r="AR135" s="20">
        <v>0.35</v>
      </c>
      <c r="AS135" s="20">
        <v>0.5</v>
      </c>
      <c r="AT135" s="20">
        <v>0.5</v>
      </c>
      <c r="AU135" s="20">
        <v>0.14000000000000001</v>
      </c>
      <c r="AX135" s="20">
        <v>1.18</v>
      </c>
      <c r="AY135" s="20">
        <v>3.02</v>
      </c>
      <c r="AZ135" s="20">
        <v>3.75</v>
      </c>
      <c r="BA135" s="20">
        <v>4</v>
      </c>
      <c r="BB135" s="20">
        <v>2.5</v>
      </c>
      <c r="BC135" s="20">
        <v>4.5</v>
      </c>
      <c r="BG135" s="20">
        <v>1.0900000000000001</v>
      </c>
      <c r="BH135" s="20">
        <v>6.11</v>
      </c>
      <c r="BI135" s="20">
        <v>35.5</v>
      </c>
      <c r="CH135" s="20" t="s">
        <v>129</v>
      </c>
      <c r="CI135" s="20" t="s">
        <v>190</v>
      </c>
      <c r="CJ135" s="20">
        <f>3*285</f>
        <v>855</v>
      </c>
      <c r="CK135" s="20">
        <f t="shared" si="36"/>
        <v>427.5</v>
      </c>
      <c r="CL135" s="20">
        <f t="shared" si="35"/>
        <v>54.346529562275848</v>
      </c>
      <c r="CM135" s="20" t="s">
        <v>255</v>
      </c>
    </row>
    <row r="136" spans="1:91">
      <c r="A136" s="20" t="s">
        <v>537</v>
      </c>
      <c r="B136" s="20" t="s">
        <v>256</v>
      </c>
      <c r="C136" s="20" t="s">
        <v>113</v>
      </c>
      <c r="D136" s="20">
        <v>500</v>
      </c>
      <c r="E136" s="20">
        <v>500</v>
      </c>
      <c r="F136" s="20">
        <v>7</v>
      </c>
      <c r="J136" s="20">
        <v>47</v>
      </c>
      <c r="AE136" s="20">
        <v>39.950000000000003</v>
      </c>
      <c r="AF136" s="20">
        <f t="shared" si="46"/>
        <v>0</v>
      </c>
      <c r="AG136" s="20">
        <f t="shared" si="47"/>
        <v>0</v>
      </c>
      <c r="AH136" s="20">
        <f t="shared" si="48"/>
        <v>159.80000000000001</v>
      </c>
      <c r="AI136" s="20">
        <f t="shared" si="49"/>
        <v>159.80000000000001</v>
      </c>
      <c r="AJ136" s="20">
        <f t="shared" si="50"/>
        <v>0</v>
      </c>
      <c r="AM136" s="20">
        <v>5.5</v>
      </c>
      <c r="AN136" s="20">
        <v>4.5</v>
      </c>
      <c r="AO136" s="20">
        <v>4.2</v>
      </c>
      <c r="AP136" s="20">
        <v>3.04</v>
      </c>
      <c r="AQ136" s="20">
        <v>2.25</v>
      </c>
      <c r="AR136" s="20">
        <v>0.35</v>
      </c>
      <c r="AS136" s="20">
        <v>0.5</v>
      </c>
      <c r="AT136" s="20">
        <v>0.5</v>
      </c>
      <c r="AU136" s="20">
        <v>0.14000000000000001</v>
      </c>
      <c r="AX136" s="20">
        <v>1.18</v>
      </c>
      <c r="AY136" s="20">
        <v>3.02</v>
      </c>
      <c r="AZ136" s="20">
        <v>3.75</v>
      </c>
      <c r="BA136" s="20">
        <v>4</v>
      </c>
      <c r="BB136" s="20">
        <v>2.5</v>
      </c>
      <c r="BC136" s="20">
        <v>4.5</v>
      </c>
      <c r="BG136" s="20">
        <v>1.0900000000000001</v>
      </c>
      <c r="BH136" s="20">
        <v>6.11</v>
      </c>
      <c r="BI136" s="20">
        <v>35.5</v>
      </c>
      <c r="CH136" s="20" t="s">
        <v>257</v>
      </c>
      <c r="CI136" s="20" t="s">
        <v>190</v>
      </c>
      <c r="CJ136" s="20">
        <f>3*285</f>
        <v>855</v>
      </c>
      <c r="CK136" s="20">
        <f t="shared" si="36"/>
        <v>427.5</v>
      </c>
      <c r="CL136" s="20">
        <f t="shared" ref="CL136:CL180" si="51">SUM(F136:S136)+T136/T$3+SUMPRODUCT(W136:AA136,1/W$3:AA$3)*1000+SUMPRODUCT(AM136:BF136,1/AM$3:BF$3)+SUMPRODUCT(BZ136:CB136,1/BZ$3:CB$3)+SUMPRODUCT(CF136:CG136,1/CF$3:CG$3)*1000</f>
        <v>54.346529562275848</v>
      </c>
      <c r="CM136" s="20" t="s">
        <v>258</v>
      </c>
    </row>
    <row r="137" spans="1:91">
      <c r="A137" s="20" t="s">
        <v>537</v>
      </c>
      <c r="B137" s="20" t="s">
        <v>259</v>
      </c>
      <c r="C137" s="20" t="s">
        <v>153</v>
      </c>
      <c r="D137" s="20">
        <v>500</v>
      </c>
      <c r="E137" s="20">
        <v>500</v>
      </c>
      <c r="F137" s="20">
        <v>7</v>
      </c>
      <c r="J137" s="20">
        <v>47</v>
      </c>
      <c r="AE137" s="20">
        <v>39.93</v>
      </c>
      <c r="AF137" s="20">
        <f t="shared" si="46"/>
        <v>0</v>
      </c>
      <c r="AG137" s="20">
        <f t="shared" si="47"/>
        <v>0</v>
      </c>
      <c r="AH137" s="20">
        <f t="shared" si="48"/>
        <v>159.72</v>
      </c>
      <c r="AI137" s="20">
        <f t="shared" si="49"/>
        <v>159.72</v>
      </c>
      <c r="AJ137" s="20">
        <f t="shared" si="50"/>
        <v>0</v>
      </c>
      <c r="AM137" s="20">
        <v>5.5</v>
      </c>
      <c r="AN137" s="20">
        <v>4.5</v>
      </c>
      <c r="AO137" s="20">
        <v>4.2</v>
      </c>
      <c r="AP137" s="20">
        <v>3.04</v>
      </c>
      <c r="AQ137" s="20">
        <v>2.25</v>
      </c>
      <c r="AR137" s="20">
        <v>0.35</v>
      </c>
      <c r="AS137" s="20">
        <v>0.5</v>
      </c>
      <c r="AT137" s="20">
        <v>0.5</v>
      </c>
      <c r="AU137" s="20">
        <v>0.14000000000000001</v>
      </c>
      <c r="AX137" s="20">
        <v>1.18</v>
      </c>
      <c r="AY137" s="20">
        <v>3.02</v>
      </c>
      <c r="AZ137" s="20">
        <v>3.75</v>
      </c>
      <c r="BA137" s="20">
        <v>4</v>
      </c>
      <c r="BB137" s="20">
        <v>2.5</v>
      </c>
      <c r="BC137" s="20">
        <v>4.5</v>
      </c>
      <c r="BG137" s="20">
        <v>1.0900000000000001</v>
      </c>
      <c r="BH137" s="20">
        <v>6.11</v>
      </c>
      <c r="BI137" s="20">
        <v>35.5</v>
      </c>
      <c r="CH137" s="20" t="s">
        <v>129</v>
      </c>
      <c r="CI137" s="20" t="s">
        <v>190</v>
      </c>
      <c r="CJ137" s="20">
        <f>3*285</f>
        <v>855</v>
      </c>
      <c r="CK137" s="20">
        <f t="shared" ref="CK137:CK188" si="52">CJ137*D137/1000</f>
        <v>427.5</v>
      </c>
      <c r="CL137" s="20">
        <f t="shared" si="51"/>
        <v>54.346529562275848</v>
      </c>
      <c r="CM137" s="20" t="s">
        <v>260</v>
      </c>
    </row>
    <row r="138" spans="1:91">
      <c r="A138" s="20" t="s">
        <v>537</v>
      </c>
      <c r="B138" s="20" t="s">
        <v>261</v>
      </c>
      <c r="C138" s="20" t="s">
        <v>123</v>
      </c>
      <c r="D138" s="20">
        <v>200</v>
      </c>
      <c r="E138" s="20">
        <v>200</v>
      </c>
      <c r="F138" s="20">
        <v>0.6</v>
      </c>
      <c r="O138" s="20">
        <v>16</v>
      </c>
      <c r="AE138" s="20">
        <v>15.2</v>
      </c>
      <c r="AF138" s="20">
        <f t="shared" si="46"/>
        <v>0</v>
      </c>
      <c r="AG138" s="20">
        <f t="shared" si="47"/>
        <v>0</v>
      </c>
      <c r="AH138" s="20">
        <f t="shared" si="48"/>
        <v>60.8</v>
      </c>
      <c r="AI138" s="20">
        <f t="shared" si="49"/>
        <v>60.8</v>
      </c>
      <c r="AJ138" s="20">
        <f t="shared" si="50"/>
        <v>0</v>
      </c>
      <c r="AM138" s="20">
        <v>3.2</v>
      </c>
      <c r="AN138" s="20">
        <v>1.6</v>
      </c>
      <c r="AO138" s="20">
        <v>1.2</v>
      </c>
      <c r="AP138" s="20">
        <v>0.96</v>
      </c>
      <c r="AQ138" s="20">
        <v>0.48</v>
      </c>
      <c r="AR138" s="20">
        <v>0.24</v>
      </c>
      <c r="AS138" s="20">
        <v>0.3</v>
      </c>
      <c r="AT138" s="20">
        <v>0.5</v>
      </c>
      <c r="AU138" s="20">
        <v>0.3</v>
      </c>
      <c r="AW138" s="20">
        <v>0.12</v>
      </c>
      <c r="AX138" s="20">
        <v>0.5</v>
      </c>
      <c r="AY138" s="20">
        <v>2</v>
      </c>
      <c r="AZ138" s="20">
        <v>1.04</v>
      </c>
      <c r="BA138" s="20">
        <v>1.2</v>
      </c>
      <c r="BB138" s="20">
        <v>0.8</v>
      </c>
      <c r="BC138" s="20">
        <v>0.4</v>
      </c>
      <c r="BD138" s="20">
        <v>0.16</v>
      </c>
      <c r="BE138" s="20">
        <v>0.16</v>
      </c>
      <c r="BF138" s="20">
        <v>0.04</v>
      </c>
      <c r="BG138" s="20">
        <v>1.26</v>
      </c>
      <c r="BH138" s="20">
        <v>2.35</v>
      </c>
      <c r="BI138" s="20">
        <v>39</v>
      </c>
      <c r="CH138" s="20" t="s">
        <v>136</v>
      </c>
      <c r="CI138" s="20" t="s">
        <v>262</v>
      </c>
      <c r="CJ138" s="20">
        <f>(2.3+2.8)/2*285</f>
        <v>726.75</v>
      </c>
      <c r="CK138" s="20">
        <f t="shared" si="52"/>
        <v>145.35</v>
      </c>
      <c r="CL138" s="20">
        <f t="shared" si="51"/>
        <v>16.719134672302292</v>
      </c>
      <c r="CM138" s="20" t="s">
        <v>263</v>
      </c>
    </row>
    <row r="140" spans="1:91">
      <c r="B140" s="20" t="s">
        <v>552</v>
      </c>
    </row>
    <row r="141" spans="1:91">
      <c r="A141" s="20" t="s">
        <v>553</v>
      </c>
      <c r="B141" s="20" t="s">
        <v>264</v>
      </c>
      <c r="C141" s="20" t="s">
        <v>246</v>
      </c>
      <c r="D141" s="20">
        <v>1000</v>
      </c>
      <c r="E141" s="20">
        <v>1000</v>
      </c>
      <c r="F141" s="20">
        <v>35</v>
      </c>
      <c r="G141" s="20">
        <v>20</v>
      </c>
      <c r="H141" s="20">
        <v>5</v>
      </c>
      <c r="I141" s="20">
        <v>5</v>
      </c>
      <c r="J141" s="20">
        <v>35</v>
      </c>
      <c r="K141" s="20">
        <v>5</v>
      </c>
      <c r="M141" s="20">
        <v>20</v>
      </c>
      <c r="P141" s="20">
        <v>5</v>
      </c>
      <c r="S141" s="20">
        <v>10</v>
      </c>
      <c r="T141" s="20">
        <f>5*T$3/1000</f>
        <v>0.32694999999999996</v>
      </c>
      <c r="W141" s="20">
        <v>74.998000000000005</v>
      </c>
      <c r="AB141" s="20">
        <v>74.998000000000005</v>
      </c>
      <c r="AE141" s="20">
        <v>30</v>
      </c>
      <c r="AF141" s="20">
        <f t="shared" ref="AF141:AF148" si="53">AB141*4</f>
        <v>299.99200000000002</v>
      </c>
      <c r="AG141" s="20">
        <f t="shared" ref="AG141:AG148" si="54">AC141*9</f>
        <v>0</v>
      </c>
      <c r="AH141" s="20">
        <f t="shared" ref="AH141:AH148" si="55">AE141*4</f>
        <v>120</v>
      </c>
      <c r="AI141" s="20">
        <v>420</v>
      </c>
      <c r="AJ141" s="20">
        <v>300</v>
      </c>
      <c r="AK141" s="20">
        <v>64</v>
      </c>
      <c r="AM141" s="20">
        <v>4.2</v>
      </c>
      <c r="AN141" s="20">
        <v>2.4</v>
      </c>
      <c r="AO141" s="20">
        <v>2.4</v>
      </c>
      <c r="AP141" s="20">
        <v>3.1459999999999999</v>
      </c>
      <c r="AQ141" s="20">
        <v>1.71</v>
      </c>
      <c r="AR141" s="20">
        <v>0.6</v>
      </c>
      <c r="AS141" s="20">
        <v>1.17</v>
      </c>
      <c r="AT141" s="20">
        <v>2.1</v>
      </c>
      <c r="AU141" s="20">
        <v>0.3</v>
      </c>
      <c r="AW141" s="20">
        <v>0.15</v>
      </c>
      <c r="AX141" s="20">
        <v>1.5</v>
      </c>
      <c r="AY141" s="20">
        <v>3.15</v>
      </c>
      <c r="AZ141" s="20">
        <v>2.4</v>
      </c>
      <c r="BA141" s="20">
        <v>1.5</v>
      </c>
      <c r="BB141" s="20">
        <v>0.9</v>
      </c>
      <c r="BC141" s="20">
        <v>1.77</v>
      </c>
      <c r="BD141" s="20">
        <v>0.3</v>
      </c>
      <c r="BE141" s="20">
        <v>0.3</v>
      </c>
      <c r="BG141" s="20">
        <v>1.44</v>
      </c>
      <c r="BH141" s="20">
        <v>4.71</v>
      </c>
      <c r="BI141" s="20">
        <v>30</v>
      </c>
      <c r="CH141" s="20" t="s">
        <v>265</v>
      </c>
      <c r="CI141" s="20" t="s">
        <v>190</v>
      </c>
      <c r="CJ141" s="20">
        <f t="shared" ref="CJ141:CJ148" si="56">3*285</f>
        <v>855</v>
      </c>
      <c r="CK141" s="20">
        <f t="shared" si="52"/>
        <v>855</v>
      </c>
      <c r="CL141" s="20">
        <f t="shared" si="51"/>
        <v>556.53739419568376</v>
      </c>
      <c r="CM141" s="20" t="s">
        <v>266</v>
      </c>
    </row>
    <row r="142" spans="1:91">
      <c r="A142" s="20" t="s">
        <v>553</v>
      </c>
      <c r="B142" s="20" t="s">
        <v>267</v>
      </c>
      <c r="C142" s="20" t="s">
        <v>246</v>
      </c>
      <c r="D142" s="20">
        <v>500</v>
      </c>
      <c r="E142" s="20">
        <v>500</v>
      </c>
      <c r="F142" s="20">
        <v>17.100000000000001</v>
      </c>
      <c r="G142" s="20">
        <v>10</v>
      </c>
      <c r="H142" s="20">
        <v>2.5</v>
      </c>
      <c r="I142" s="20">
        <v>2.5</v>
      </c>
      <c r="J142" s="20">
        <v>17.600000000000001</v>
      </c>
      <c r="K142" s="20">
        <v>2.5</v>
      </c>
      <c r="M142" s="20">
        <v>10</v>
      </c>
      <c r="O142" s="20">
        <v>9.5</v>
      </c>
      <c r="P142" s="20">
        <v>2.5</v>
      </c>
      <c r="S142" s="20">
        <v>5</v>
      </c>
      <c r="T142" s="20">
        <f>2.4*T$3/1000</f>
        <v>0.15693600000000002</v>
      </c>
      <c r="W142" s="20">
        <v>37.499000000000002</v>
      </c>
      <c r="AB142" s="20">
        <v>37.499000000000002</v>
      </c>
      <c r="AE142" s="20">
        <v>15</v>
      </c>
      <c r="AF142" s="20">
        <f t="shared" si="53"/>
        <v>149.99600000000001</v>
      </c>
      <c r="AG142" s="20">
        <f t="shared" si="54"/>
        <v>0</v>
      </c>
      <c r="AH142" s="20">
        <f t="shared" si="55"/>
        <v>60</v>
      </c>
      <c r="AI142" s="20">
        <v>210</v>
      </c>
      <c r="AJ142" s="20">
        <v>150</v>
      </c>
      <c r="AK142" s="20">
        <v>64</v>
      </c>
      <c r="AM142" s="20">
        <v>2.1</v>
      </c>
      <c r="AN142" s="20">
        <v>1.2</v>
      </c>
      <c r="AO142" s="20">
        <v>1.2</v>
      </c>
      <c r="AP142" s="20">
        <v>1.573</v>
      </c>
      <c r="AQ142" s="20">
        <v>0.85499999999999998</v>
      </c>
      <c r="AR142" s="20">
        <v>0.3</v>
      </c>
      <c r="AS142" s="20">
        <v>0.58499999999999996</v>
      </c>
      <c r="AT142" s="20">
        <v>1.05</v>
      </c>
      <c r="AU142" s="20">
        <v>0.15</v>
      </c>
      <c r="AW142" s="20">
        <v>7.4999999999999997E-2</v>
      </c>
      <c r="AX142" s="20">
        <v>0.75</v>
      </c>
      <c r="AY142" s="20">
        <v>1.575</v>
      </c>
      <c r="AZ142" s="20">
        <v>1.2</v>
      </c>
      <c r="BA142" s="20">
        <v>0.75</v>
      </c>
      <c r="BB142" s="20">
        <v>0.45</v>
      </c>
      <c r="BC142" s="20">
        <v>0.88500000000000001</v>
      </c>
      <c r="BD142" s="20">
        <v>0.15</v>
      </c>
      <c r="BE142" s="20">
        <v>0.15</v>
      </c>
      <c r="BG142" s="20">
        <v>1.44</v>
      </c>
      <c r="BH142" s="20">
        <v>2.35</v>
      </c>
      <c r="BI142" s="20">
        <v>30</v>
      </c>
      <c r="BL142" s="20">
        <v>1</v>
      </c>
      <c r="CH142" s="20" t="s">
        <v>268</v>
      </c>
      <c r="CI142" s="20" t="s">
        <v>190</v>
      </c>
      <c r="CJ142" s="20">
        <f t="shared" si="56"/>
        <v>855</v>
      </c>
      <c r="CK142" s="20">
        <f t="shared" si="52"/>
        <v>427.5</v>
      </c>
      <c r="CL142" s="20">
        <f t="shared" si="51"/>
        <v>287.46859709784189</v>
      </c>
      <c r="CM142" s="20" t="s">
        <v>269</v>
      </c>
    </row>
    <row r="143" spans="1:91">
      <c r="A143" s="20" t="s">
        <v>553</v>
      </c>
      <c r="B143" s="20" t="s">
        <v>270</v>
      </c>
      <c r="C143" s="20" t="s">
        <v>96</v>
      </c>
      <c r="D143" s="20">
        <v>500</v>
      </c>
      <c r="E143" s="20">
        <v>500</v>
      </c>
      <c r="F143" s="20">
        <v>17</v>
      </c>
      <c r="J143" s="20">
        <v>17</v>
      </c>
      <c r="W143" s="20">
        <v>37.5</v>
      </c>
      <c r="AB143" s="20">
        <v>37.5</v>
      </c>
      <c r="AE143" s="20">
        <v>13.57</v>
      </c>
      <c r="AF143" s="20">
        <f t="shared" si="53"/>
        <v>150</v>
      </c>
      <c r="AG143" s="20">
        <f t="shared" si="54"/>
        <v>0</v>
      </c>
      <c r="AH143" s="20">
        <f t="shared" si="55"/>
        <v>54.28</v>
      </c>
      <c r="AI143" s="20">
        <v>204</v>
      </c>
      <c r="AJ143" s="20">
        <v>150</v>
      </c>
      <c r="AK143" s="20">
        <v>71</v>
      </c>
      <c r="AM143" s="20">
        <v>2.0499999999999998</v>
      </c>
      <c r="AN143" s="20">
        <v>0.9</v>
      </c>
      <c r="AO143" s="20">
        <v>1</v>
      </c>
      <c r="AP143" s="20">
        <v>2.48</v>
      </c>
      <c r="AQ143" s="20">
        <v>0.9</v>
      </c>
      <c r="AR143" s="20">
        <v>0.28999999999999998</v>
      </c>
      <c r="AS143" s="20">
        <v>1.2</v>
      </c>
      <c r="AT143" s="20">
        <v>1.45</v>
      </c>
      <c r="AX143" s="20">
        <v>0.5</v>
      </c>
      <c r="AY143" s="20">
        <v>1.1000000000000001</v>
      </c>
      <c r="BC143" s="20">
        <v>1.7</v>
      </c>
      <c r="BG143" s="20">
        <v>3.11</v>
      </c>
      <c r="BH143" s="20">
        <v>2.1</v>
      </c>
      <c r="BI143" s="20">
        <v>29</v>
      </c>
      <c r="CH143" s="20" t="s">
        <v>199</v>
      </c>
      <c r="CI143" s="20" t="s">
        <v>190</v>
      </c>
      <c r="CJ143" s="20">
        <f t="shared" si="56"/>
        <v>855</v>
      </c>
      <c r="CK143" s="20">
        <f t="shared" si="52"/>
        <v>427.5</v>
      </c>
      <c r="CL143" s="20">
        <f t="shared" si="51"/>
        <v>242.25890261283681</v>
      </c>
      <c r="CM143" s="20" t="s">
        <v>271</v>
      </c>
    </row>
    <row r="144" spans="1:91">
      <c r="A144" s="20" t="s">
        <v>553</v>
      </c>
      <c r="B144" s="20" t="s">
        <v>272</v>
      </c>
      <c r="C144" s="20" t="s">
        <v>96</v>
      </c>
      <c r="D144" s="20">
        <v>1000</v>
      </c>
      <c r="E144" s="20">
        <v>1000</v>
      </c>
      <c r="F144" s="20">
        <v>35</v>
      </c>
      <c r="G144" s="20">
        <v>20</v>
      </c>
      <c r="H144" s="20">
        <v>5</v>
      </c>
      <c r="I144" s="20">
        <v>5</v>
      </c>
      <c r="J144" s="20">
        <v>35</v>
      </c>
      <c r="K144" s="20">
        <v>5</v>
      </c>
      <c r="M144" s="20">
        <v>20</v>
      </c>
      <c r="O144" s="20">
        <v>13</v>
      </c>
      <c r="P144" s="20">
        <v>5</v>
      </c>
      <c r="Q144" s="20">
        <v>6</v>
      </c>
      <c r="S144" s="20">
        <v>10</v>
      </c>
      <c r="T144" s="20">
        <f>5*T$3/1000</f>
        <v>0.32694999999999996</v>
      </c>
      <c r="W144" s="20">
        <v>75</v>
      </c>
      <c r="AB144" s="20">
        <v>75</v>
      </c>
      <c r="AE144" s="20">
        <v>30</v>
      </c>
      <c r="AF144" s="20">
        <f t="shared" si="53"/>
        <v>300</v>
      </c>
      <c r="AG144" s="20">
        <f t="shared" si="54"/>
        <v>0</v>
      </c>
      <c r="AH144" s="20">
        <f t="shared" si="55"/>
        <v>120</v>
      </c>
      <c r="AI144" s="20">
        <v>420</v>
      </c>
      <c r="AJ144" s="20">
        <v>300</v>
      </c>
      <c r="AK144" s="20">
        <v>64</v>
      </c>
      <c r="AM144" s="20">
        <v>4.2</v>
      </c>
      <c r="AN144" s="20">
        <v>2.4</v>
      </c>
      <c r="AO144" s="20">
        <v>2.4</v>
      </c>
      <c r="AP144" s="20">
        <v>3.1459999999999999</v>
      </c>
      <c r="AQ144" s="20">
        <v>1.71</v>
      </c>
      <c r="AR144" s="20">
        <v>0.6</v>
      </c>
      <c r="AS144" s="20">
        <v>1.17</v>
      </c>
      <c r="AT144" s="20">
        <v>2.1</v>
      </c>
      <c r="AU144" s="20">
        <v>0.3</v>
      </c>
      <c r="AW144" s="20">
        <v>0.15</v>
      </c>
      <c r="AX144" s="20">
        <v>1.5</v>
      </c>
      <c r="AY144" s="20">
        <v>3.15</v>
      </c>
      <c r="AZ144" s="20">
        <v>2.4</v>
      </c>
      <c r="BA144" s="20">
        <v>1.5</v>
      </c>
      <c r="BB144" s="20">
        <v>0.9</v>
      </c>
      <c r="BC144" s="20">
        <v>1.77</v>
      </c>
      <c r="BD144" s="20">
        <v>0.3</v>
      </c>
      <c r="BE144" s="20">
        <v>0.3</v>
      </c>
      <c r="BG144" s="20">
        <v>1.44</v>
      </c>
      <c r="BH144" s="20">
        <v>4.7</v>
      </c>
      <c r="BI144" s="20">
        <v>30</v>
      </c>
      <c r="CH144" s="20" t="s">
        <v>268</v>
      </c>
      <c r="CI144" s="20" t="s">
        <v>190</v>
      </c>
      <c r="CJ144" s="20">
        <f t="shared" si="56"/>
        <v>855</v>
      </c>
      <c r="CK144" s="20">
        <f t="shared" si="52"/>
        <v>855</v>
      </c>
      <c r="CL144" s="20">
        <f t="shared" si="51"/>
        <v>575.54849568550367</v>
      </c>
      <c r="CM144" s="20" t="s">
        <v>266</v>
      </c>
    </row>
    <row r="145" spans="1:91">
      <c r="A145" s="20" t="s">
        <v>553</v>
      </c>
      <c r="B145" s="20" t="s">
        <v>273</v>
      </c>
      <c r="C145" s="20" t="s">
        <v>96</v>
      </c>
      <c r="D145" s="20">
        <v>1000</v>
      </c>
      <c r="E145" s="20">
        <v>1000</v>
      </c>
      <c r="F145" s="20">
        <v>35</v>
      </c>
      <c r="G145" s="20">
        <v>20</v>
      </c>
      <c r="H145" s="20">
        <v>5</v>
      </c>
      <c r="I145" s="20">
        <v>5</v>
      </c>
      <c r="J145" s="20">
        <v>35</v>
      </c>
      <c r="K145" s="20">
        <v>5</v>
      </c>
      <c r="M145" s="20">
        <v>20</v>
      </c>
      <c r="O145" s="20">
        <v>16</v>
      </c>
      <c r="Q145" s="20">
        <v>6</v>
      </c>
      <c r="S145" s="20">
        <v>10</v>
      </c>
      <c r="T145" s="20">
        <f>5*T$3/1000</f>
        <v>0.32694999999999996</v>
      </c>
      <c r="W145" s="20">
        <v>75</v>
      </c>
      <c r="AB145" s="20">
        <v>75</v>
      </c>
      <c r="AE145" s="20">
        <v>30</v>
      </c>
      <c r="AF145" s="20">
        <f t="shared" si="53"/>
        <v>300</v>
      </c>
      <c r="AG145" s="20">
        <f t="shared" si="54"/>
        <v>0</v>
      </c>
      <c r="AH145" s="20">
        <f t="shared" si="55"/>
        <v>120</v>
      </c>
      <c r="AI145" s="20">
        <v>420</v>
      </c>
      <c r="AJ145" s="20">
        <v>300</v>
      </c>
      <c r="AK145" s="20">
        <v>64</v>
      </c>
      <c r="AM145" s="20">
        <v>4.2</v>
      </c>
      <c r="AN145" s="20">
        <v>2.4</v>
      </c>
      <c r="AO145" s="20">
        <v>2.4</v>
      </c>
      <c r="AP145" s="20">
        <v>3.1459999999999999</v>
      </c>
      <c r="AQ145" s="20">
        <v>1.71</v>
      </c>
      <c r="AR145" s="20">
        <v>0.6</v>
      </c>
      <c r="AS145" s="20">
        <v>1.17</v>
      </c>
      <c r="AT145" s="20">
        <v>2.1</v>
      </c>
      <c r="AU145" s="20">
        <v>0.3</v>
      </c>
      <c r="AW145" s="20">
        <v>0.15</v>
      </c>
      <c r="AX145" s="20">
        <v>1.5</v>
      </c>
      <c r="AY145" s="20">
        <v>3.15</v>
      </c>
      <c r="AZ145" s="20">
        <v>2.4</v>
      </c>
      <c r="BA145" s="20">
        <v>1.5</v>
      </c>
      <c r="BB145" s="20">
        <v>0.9</v>
      </c>
      <c r="BC145" s="20">
        <v>1.77</v>
      </c>
      <c r="BD145" s="20">
        <v>0.3</v>
      </c>
      <c r="BE145" s="20">
        <v>0.3</v>
      </c>
      <c r="BG145" s="20">
        <v>1.44</v>
      </c>
      <c r="BH145" s="20">
        <v>4.7</v>
      </c>
      <c r="BI145" s="20">
        <v>30</v>
      </c>
      <c r="BL145" s="20">
        <v>1.92</v>
      </c>
      <c r="CH145" s="20" t="s">
        <v>268</v>
      </c>
      <c r="CI145" s="20" t="s">
        <v>190</v>
      </c>
      <c r="CJ145" s="20">
        <f t="shared" si="56"/>
        <v>855</v>
      </c>
      <c r="CK145" s="20">
        <f t="shared" si="52"/>
        <v>855</v>
      </c>
      <c r="CL145" s="20">
        <f t="shared" si="51"/>
        <v>573.54849568550367</v>
      </c>
      <c r="CM145" s="20" t="s">
        <v>274</v>
      </c>
    </row>
    <row r="146" spans="1:91">
      <c r="A146" s="20" t="s">
        <v>553</v>
      </c>
      <c r="B146" s="20" t="s">
        <v>275</v>
      </c>
      <c r="C146" s="20" t="s">
        <v>276</v>
      </c>
      <c r="D146" s="20">
        <v>500</v>
      </c>
      <c r="E146" s="20">
        <v>500</v>
      </c>
      <c r="F146" s="20">
        <v>15</v>
      </c>
      <c r="G146" s="20">
        <v>12.5</v>
      </c>
      <c r="I146" s="20">
        <v>1.5</v>
      </c>
      <c r="J146" s="20">
        <v>25</v>
      </c>
      <c r="M146" s="20">
        <v>20</v>
      </c>
      <c r="S146" s="20">
        <v>1.5</v>
      </c>
      <c r="W146" s="20">
        <v>37.5</v>
      </c>
      <c r="AB146" s="20">
        <v>37.5</v>
      </c>
      <c r="AE146" s="20">
        <v>13.75</v>
      </c>
      <c r="AF146" s="20">
        <f t="shared" si="53"/>
        <v>150</v>
      </c>
      <c r="AG146" s="20">
        <f t="shared" si="54"/>
        <v>0</v>
      </c>
      <c r="AH146" s="20">
        <f t="shared" si="55"/>
        <v>55</v>
      </c>
      <c r="AI146" s="20">
        <v>205</v>
      </c>
      <c r="AJ146" s="20">
        <v>150</v>
      </c>
      <c r="AK146" s="20">
        <v>70</v>
      </c>
      <c r="AM146" s="20">
        <v>1.855</v>
      </c>
      <c r="AN146" s="20">
        <v>1.17</v>
      </c>
      <c r="AO146" s="20">
        <v>1.2350000000000001</v>
      </c>
      <c r="AP146" s="20">
        <f>1.375*146.19/182.65</f>
        <v>1.1005269641390636</v>
      </c>
      <c r="AQ146" s="20">
        <v>0.66</v>
      </c>
      <c r="AR146" s="20">
        <v>0.22</v>
      </c>
      <c r="AS146" s="20">
        <v>0.67500000000000004</v>
      </c>
      <c r="AT146" s="20">
        <v>1.06</v>
      </c>
      <c r="AU146" s="20">
        <f>0.075*0.7</f>
        <v>5.2499999999999998E-2</v>
      </c>
      <c r="AW146" s="20">
        <v>7.0000000000000007E-2</v>
      </c>
      <c r="AX146" s="20">
        <v>0.64500000000000002</v>
      </c>
      <c r="AY146" s="20">
        <v>1.5249999999999999</v>
      </c>
      <c r="AZ146" s="20">
        <v>1.1850000000000001</v>
      </c>
      <c r="BA146" s="20">
        <v>0.95</v>
      </c>
      <c r="BB146" s="20">
        <v>0.57499999999999996</v>
      </c>
      <c r="BC146" s="20">
        <v>0.755</v>
      </c>
      <c r="BD146" s="20">
        <v>7.0000000000000007E-2</v>
      </c>
      <c r="BG146" s="20">
        <v>1.38</v>
      </c>
      <c r="BH146" s="20">
        <v>2.14</v>
      </c>
      <c r="BI146" s="20">
        <v>30.98</v>
      </c>
      <c r="CH146" s="20" t="s">
        <v>277</v>
      </c>
      <c r="CI146" s="20" t="s">
        <v>190</v>
      </c>
      <c r="CJ146" s="20">
        <f t="shared" si="56"/>
        <v>855</v>
      </c>
      <c r="CK146" s="20">
        <f t="shared" si="52"/>
        <v>427.5</v>
      </c>
      <c r="CL146" s="20">
        <f t="shared" si="51"/>
        <v>283.7629630430456</v>
      </c>
      <c r="CM146" s="20" t="s">
        <v>278</v>
      </c>
    </row>
    <row r="147" spans="1:91">
      <c r="A147" s="20" t="s">
        <v>553</v>
      </c>
      <c r="B147" s="20" t="s">
        <v>279</v>
      </c>
      <c r="C147" s="20" t="s">
        <v>276</v>
      </c>
      <c r="D147" s="20">
        <v>500</v>
      </c>
      <c r="E147" s="20">
        <v>500</v>
      </c>
      <c r="F147" s="20">
        <v>17.5</v>
      </c>
      <c r="G147" s="20">
        <v>10</v>
      </c>
      <c r="H147" s="20">
        <v>2.5</v>
      </c>
      <c r="I147" s="20">
        <v>2.5</v>
      </c>
      <c r="J147" s="20">
        <v>17.600000000000001</v>
      </c>
      <c r="K147" s="20">
        <v>2.5</v>
      </c>
      <c r="M147" s="20">
        <v>10</v>
      </c>
      <c r="O147" s="20">
        <v>9.5</v>
      </c>
      <c r="P147" s="20">
        <v>2.5</v>
      </c>
      <c r="S147" s="20">
        <v>5</v>
      </c>
      <c r="T147" s="20">
        <f>2.4*T$3/1000</f>
        <v>0.15693600000000002</v>
      </c>
      <c r="W147" s="20">
        <v>37.499000000000002</v>
      </c>
      <c r="AB147" s="20">
        <v>37.499000000000002</v>
      </c>
      <c r="AE147" s="20">
        <v>15</v>
      </c>
      <c r="AF147" s="20">
        <f t="shared" si="53"/>
        <v>149.99600000000001</v>
      </c>
      <c r="AG147" s="20">
        <f t="shared" si="54"/>
        <v>0</v>
      </c>
      <c r="AH147" s="20">
        <f t="shared" si="55"/>
        <v>60</v>
      </c>
      <c r="AI147" s="20">
        <v>210</v>
      </c>
      <c r="AJ147" s="20">
        <v>150</v>
      </c>
      <c r="AK147" s="20">
        <v>64</v>
      </c>
      <c r="AM147" s="20">
        <v>2.1</v>
      </c>
      <c r="AN147" s="20">
        <v>1.2</v>
      </c>
      <c r="AO147" s="20">
        <v>1.2</v>
      </c>
      <c r="AP147" s="20">
        <v>1.573</v>
      </c>
      <c r="AQ147" s="20">
        <v>0.85499999999999998</v>
      </c>
      <c r="AR147" s="20">
        <v>0.3</v>
      </c>
      <c r="AS147" s="20">
        <v>0.58499999999999996</v>
      </c>
      <c r="AT147" s="20">
        <v>1.05</v>
      </c>
      <c r="AU147" s="20">
        <v>0.15</v>
      </c>
      <c r="AW147" s="20">
        <v>7.4999999999999997E-2</v>
      </c>
      <c r="AX147" s="20">
        <v>0.75</v>
      </c>
      <c r="AY147" s="20">
        <v>1.575</v>
      </c>
      <c r="AZ147" s="20">
        <v>1.2</v>
      </c>
      <c r="BA147" s="20">
        <v>0.75</v>
      </c>
      <c r="BB147" s="20">
        <v>0.45</v>
      </c>
      <c r="BC147" s="20">
        <v>0.88500000000000001</v>
      </c>
      <c r="BD147" s="20">
        <v>0.15</v>
      </c>
      <c r="BE147" s="20">
        <v>0.15</v>
      </c>
      <c r="BG147" s="20">
        <v>1.44</v>
      </c>
      <c r="BH147" s="20">
        <v>2.35</v>
      </c>
      <c r="BI147" s="20">
        <v>30</v>
      </c>
      <c r="CH147" s="20" t="s">
        <v>280</v>
      </c>
      <c r="CI147" s="20" t="s">
        <v>190</v>
      </c>
      <c r="CJ147" s="20">
        <f t="shared" si="56"/>
        <v>855</v>
      </c>
      <c r="CK147" s="20">
        <f t="shared" si="52"/>
        <v>427.5</v>
      </c>
      <c r="CL147" s="20">
        <f t="shared" si="51"/>
        <v>287.86859709784187</v>
      </c>
      <c r="CM147" s="20" t="s">
        <v>281</v>
      </c>
    </row>
    <row r="148" spans="1:91">
      <c r="A148" s="20" t="s">
        <v>553</v>
      </c>
      <c r="B148" s="20" t="s">
        <v>282</v>
      </c>
      <c r="C148" s="20" t="s">
        <v>145</v>
      </c>
      <c r="D148" s="20">
        <v>1000</v>
      </c>
      <c r="E148" s="20">
        <v>1000</v>
      </c>
      <c r="F148" s="20">
        <v>34.200000000000003</v>
      </c>
      <c r="G148" s="20">
        <v>20</v>
      </c>
      <c r="H148" s="20">
        <v>5</v>
      </c>
      <c r="I148" s="20">
        <v>5.0999999999999996</v>
      </c>
      <c r="J148" s="20">
        <v>35.200000000000003</v>
      </c>
      <c r="K148" s="20">
        <v>5.0999999999999996</v>
      </c>
      <c r="M148" s="20">
        <v>25.5</v>
      </c>
      <c r="O148" s="20">
        <v>1.2</v>
      </c>
      <c r="Q148" s="20">
        <v>12</v>
      </c>
      <c r="S148" s="20">
        <v>10</v>
      </c>
      <c r="T148" s="20">
        <f>4.9*T$3/1000</f>
        <v>0.320411</v>
      </c>
      <c r="W148" s="20">
        <v>74.998000000000005</v>
      </c>
      <c r="AB148" s="20">
        <v>74.998000000000005</v>
      </c>
      <c r="AE148" s="20">
        <v>30</v>
      </c>
      <c r="AF148" s="20">
        <f t="shared" si="53"/>
        <v>299.99200000000002</v>
      </c>
      <c r="AG148" s="20">
        <f t="shared" si="54"/>
        <v>0</v>
      </c>
      <c r="AH148" s="20">
        <f t="shared" si="55"/>
        <v>120</v>
      </c>
      <c r="AI148" s="20">
        <v>420</v>
      </c>
      <c r="AJ148" s="20">
        <v>300</v>
      </c>
      <c r="AK148" s="20">
        <v>64</v>
      </c>
      <c r="AM148" s="20">
        <v>4.2</v>
      </c>
      <c r="AN148" s="20">
        <v>2.4</v>
      </c>
      <c r="AO148" s="20">
        <v>2.4</v>
      </c>
      <c r="AP148" s="20">
        <v>3.1459999999999999</v>
      </c>
      <c r="AQ148" s="20">
        <v>1.71</v>
      </c>
      <c r="AR148" s="20">
        <v>0.6</v>
      </c>
      <c r="AS148" s="20">
        <v>1.17</v>
      </c>
      <c r="AT148" s="20">
        <v>2.1</v>
      </c>
      <c r="AU148" s="20">
        <v>0.3</v>
      </c>
      <c r="AW148" s="20">
        <v>0.15</v>
      </c>
      <c r="AX148" s="20">
        <v>1.5</v>
      </c>
      <c r="AY148" s="20">
        <v>3.15</v>
      </c>
      <c r="AZ148" s="20">
        <v>2.4</v>
      </c>
      <c r="BA148" s="20">
        <v>1.5</v>
      </c>
      <c r="BB148" s="20">
        <v>0.9</v>
      </c>
      <c r="BC148" s="20">
        <v>1.77</v>
      </c>
      <c r="BD148" s="20">
        <v>0.3</v>
      </c>
      <c r="BE148" s="20">
        <v>0.3</v>
      </c>
      <c r="BG148" s="20">
        <v>1.44</v>
      </c>
      <c r="BH148" s="20">
        <v>4.7</v>
      </c>
      <c r="BI148" s="20">
        <v>30</v>
      </c>
      <c r="BL148" s="20">
        <v>3.81</v>
      </c>
      <c r="BM148" s="20">
        <v>2.5</v>
      </c>
      <c r="BN148" s="20">
        <v>2.5</v>
      </c>
      <c r="BO148" s="20">
        <v>5</v>
      </c>
      <c r="BP148" s="20">
        <v>20</v>
      </c>
      <c r="BQ148" s="20">
        <v>7.5</v>
      </c>
      <c r="BR148" s="20">
        <f>0.2*1000</f>
        <v>200</v>
      </c>
      <c r="BS148" s="20">
        <v>50</v>
      </c>
      <c r="BT148" s="20">
        <v>100</v>
      </c>
      <c r="CH148" s="20" t="s">
        <v>265</v>
      </c>
      <c r="CI148" s="20" t="s">
        <v>190</v>
      </c>
      <c r="CJ148" s="20">
        <f t="shared" si="56"/>
        <v>855</v>
      </c>
      <c r="CK148" s="20">
        <f t="shared" si="52"/>
        <v>855</v>
      </c>
      <c r="CL148" s="20">
        <f t="shared" si="51"/>
        <v>569.83729419568374</v>
      </c>
      <c r="CM148" s="20" t="s">
        <v>274</v>
      </c>
    </row>
    <row r="150" spans="1:91">
      <c r="B150" s="20" t="s">
        <v>554</v>
      </c>
      <c r="AF150" s="20" t="str">
        <f t="shared" ref="AF150:AF190" si="57">IF(AB150="","",AB150*4)</f>
        <v/>
      </c>
      <c r="AG150" s="20" t="str">
        <f t="shared" ref="AG150:AG190" si="58">IF(AC150="","",AC150*9)</f>
        <v/>
      </c>
      <c r="AH150" s="20" t="str">
        <f t="shared" ref="AH150:AH190" si="59">IF(AE150="","",AE150*4)</f>
        <v/>
      </c>
    </row>
    <row r="151" spans="1:91">
      <c r="A151" s="20" t="s">
        <v>555</v>
      </c>
      <c r="B151" s="20" t="s">
        <v>283</v>
      </c>
      <c r="C151" s="20" t="s">
        <v>145</v>
      </c>
      <c r="D151" s="20">
        <v>500</v>
      </c>
      <c r="E151" s="20">
        <v>500</v>
      </c>
      <c r="F151" s="20">
        <v>5</v>
      </c>
      <c r="G151" s="20">
        <v>10</v>
      </c>
      <c r="H151" s="20">
        <v>4</v>
      </c>
      <c r="I151" s="20">
        <v>1</v>
      </c>
      <c r="M151" s="20">
        <v>9</v>
      </c>
      <c r="O151" s="20">
        <v>1</v>
      </c>
      <c r="S151" s="20">
        <v>5</v>
      </c>
      <c r="T151" s="20">
        <f>10*T$3/1000</f>
        <v>0.65389999999999993</v>
      </c>
      <c r="W151" s="20">
        <v>85</v>
      </c>
      <c r="AB151" s="20">
        <v>85</v>
      </c>
      <c r="AF151" s="20">
        <f t="shared" ref="AF151:AF176" si="60">AB151*4</f>
        <v>340</v>
      </c>
      <c r="AG151" s="20">
        <f t="shared" ref="AG151:AG176" si="61">AC151*9</f>
        <v>0</v>
      </c>
      <c r="AH151" s="20">
        <f t="shared" ref="AH151:AH176" si="62">AE151*4</f>
        <v>0</v>
      </c>
      <c r="AI151" s="20">
        <v>340</v>
      </c>
      <c r="AJ151" s="20">
        <f t="shared" ref="AJ151:AJ162" si="63">SUM(AF151,AG151)</f>
        <v>340</v>
      </c>
      <c r="CH151" s="20" t="s">
        <v>284</v>
      </c>
      <c r="CI151" s="20" t="s">
        <v>82</v>
      </c>
      <c r="CJ151" s="20">
        <f>4*285</f>
        <v>1140</v>
      </c>
      <c r="CK151" s="20">
        <f t="shared" si="52"/>
        <v>570</v>
      </c>
      <c r="CL151" s="20">
        <f t="shared" si="51"/>
        <v>506.82331734718798</v>
      </c>
    </row>
    <row r="152" spans="1:91">
      <c r="A152" s="20" t="s">
        <v>555</v>
      </c>
      <c r="B152" s="20" t="s">
        <v>285</v>
      </c>
      <c r="C152" s="20" t="s">
        <v>145</v>
      </c>
      <c r="D152" s="20">
        <v>500</v>
      </c>
      <c r="E152" s="20">
        <v>500</v>
      </c>
      <c r="G152" s="20">
        <v>15</v>
      </c>
      <c r="H152" s="20">
        <v>7.5</v>
      </c>
      <c r="I152" s="20">
        <v>2.5</v>
      </c>
      <c r="M152" s="20">
        <v>2.5</v>
      </c>
      <c r="O152" s="20">
        <v>2.5</v>
      </c>
      <c r="S152" s="20">
        <v>10</v>
      </c>
      <c r="T152" s="20">
        <f>10*T$3/1000</f>
        <v>0.65389999999999993</v>
      </c>
      <c r="W152" s="20">
        <v>105</v>
      </c>
      <c r="AB152" s="20">
        <v>105</v>
      </c>
      <c r="AF152" s="20">
        <f t="shared" si="60"/>
        <v>420</v>
      </c>
      <c r="AG152" s="20">
        <f t="shared" si="61"/>
        <v>0</v>
      </c>
      <c r="AH152" s="20">
        <f t="shared" si="62"/>
        <v>0</v>
      </c>
      <c r="AI152" s="20">
        <v>420</v>
      </c>
      <c r="AJ152" s="20">
        <f t="shared" si="63"/>
        <v>420</v>
      </c>
      <c r="CH152" s="20" t="s">
        <v>284</v>
      </c>
      <c r="CI152" s="20" t="s">
        <v>243</v>
      </c>
      <c r="CJ152" s="20">
        <f>5*285</f>
        <v>1425</v>
      </c>
      <c r="CK152" s="20">
        <f t="shared" si="52"/>
        <v>712.5</v>
      </c>
      <c r="CL152" s="20">
        <f t="shared" si="51"/>
        <v>622.83821554652627</v>
      </c>
    </row>
    <row r="153" spans="1:91">
      <c r="A153" s="20" t="s">
        <v>555</v>
      </c>
      <c r="B153" s="20" t="s">
        <v>286</v>
      </c>
      <c r="C153" s="20" t="s">
        <v>113</v>
      </c>
      <c r="D153" s="20">
        <v>700</v>
      </c>
      <c r="E153" s="20">
        <v>700</v>
      </c>
      <c r="G153" s="20">
        <v>30</v>
      </c>
      <c r="H153" s="20">
        <v>8.5</v>
      </c>
      <c r="I153" s="20">
        <v>10</v>
      </c>
      <c r="K153" s="20">
        <v>10</v>
      </c>
      <c r="O153" s="20">
        <v>25</v>
      </c>
      <c r="P153" s="20">
        <v>8.5</v>
      </c>
      <c r="S153" s="20">
        <f>150/$S$3</f>
        <v>4.8433968356474013</v>
      </c>
      <c r="T153" s="20">
        <f>10*T$3/1000</f>
        <v>0.65389999999999993</v>
      </c>
      <c r="W153" s="20">
        <v>120</v>
      </c>
      <c r="AB153" s="20">
        <v>120</v>
      </c>
      <c r="AF153" s="20">
        <f t="shared" si="60"/>
        <v>480</v>
      </c>
      <c r="AG153" s="20">
        <f t="shared" si="61"/>
        <v>0</v>
      </c>
      <c r="AH153" s="20">
        <f t="shared" si="62"/>
        <v>0</v>
      </c>
      <c r="AI153" s="20">
        <v>480</v>
      </c>
      <c r="AJ153" s="20">
        <f t="shared" si="63"/>
        <v>480</v>
      </c>
      <c r="CH153" s="20" t="s">
        <v>287</v>
      </c>
      <c r="CI153" s="20" t="s">
        <v>82</v>
      </c>
      <c r="CJ153" s="20">
        <f>4*285</f>
        <v>1140</v>
      </c>
      <c r="CK153" s="20">
        <f t="shared" si="52"/>
        <v>798</v>
      </c>
      <c r="CL153" s="20">
        <f t="shared" si="51"/>
        <v>762.94278603167754</v>
      </c>
    </row>
    <row r="154" spans="1:91">
      <c r="A154" s="20" t="s">
        <v>555</v>
      </c>
      <c r="B154" s="20" t="s">
        <v>288</v>
      </c>
      <c r="C154" s="20" t="s">
        <v>113</v>
      </c>
      <c r="D154" s="20">
        <v>700</v>
      </c>
      <c r="E154" s="20">
        <v>700</v>
      </c>
      <c r="G154" s="20">
        <v>30</v>
      </c>
      <c r="H154" s="20">
        <v>8.5</v>
      </c>
      <c r="I154" s="20">
        <v>10</v>
      </c>
      <c r="K154" s="20">
        <v>10</v>
      </c>
      <c r="O154" s="20">
        <v>25</v>
      </c>
      <c r="P154" s="20">
        <v>8.5</v>
      </c>
      <c r="S154" s="20">
        <f>150/$S$3</f>
        <v>4.8433968356474013</v>
      </c>
      <c r="T154" s="20">
        <f>10*T$3/1000</f>
        <v>0.65389999999999993</v>
      </c>
      <c r="W154" s="20">
        <v>175</v>
      </c>
      <c r="AB154" s="20">
        <v>175</v>
      </c>
      <c r="AF154" s="20">
        <f t="shared" si="60"/>
        <v>700</v>
      </c>
      <c r="AG154" s="20">
        <f t="shared" si="61"/>
        <v>0</v>
      </c>
      <c r="AH154" s="20">
        <f t="shared" si="62"/>
        <v>0</v>
      </c>
      <c r="AI154" s="20">
        <v>700</v>
      </c>
      <c r="AJ154" s="20">
        <f t="shared" si="63"/>
        <v>700</v>
      </c>
      <c r="CH154" s="20" t="s">
        <v>287</v>
      </c>
      <c r="CI154" s="20" t="s">
        <v>84</v>
      </c>
      <c r="CJ154" s="20">
        <f>6*285</f>
        <v>1710</v>
      </c>
      <c r="CK154" s="20">
        <f t="shared" si="52"/>
        <v>1197</v>
      </c>
      <c r="CL154" s="20">
        <f t="shared" si="51"/>
        <v>1068.233756079858</v>
      </c>
    </row>
    <row r="155" spans="1:91">
      <c r="A155" s="20" t="s">
        <v>555</v>
      </c>
      <c r="B155" s="20" t="s">
        <v>289</v>
      </c>
      <c r="C155" s="20" t="s">
        <v>113</v>
      </c>
      <c r="D155" s="20">
        <v>700</v>
      </c>
      <c r="E155" s="20">
        <v>700</v>
      </c>
      <c r="G155" s="20">
        <v>30</v>
      </c>
      <c r="H155" s="20">
        <v>8.5</v>
      </c>
      <c r="I155" s="20">
        <v>10</v>
      </c>
      <c r="K155" s="20">
        <v>10</v>
      </c>
      <c r="O155" s="20">
        <v>22</v>
      </c>
      <c r="P155" s="20">
        <v>8.5</v>
      </c>
      <c r="S155" s="20">
        <f>250/$S$3</f>
        <v>8.0723280594123352</v>
      </c>
      <c r="T155" s="20">
        <f t="shared" ref="T155:T168" si="64">20*T$3/1000</f>
        <v>1.3077999999999999</v>
      </c>
      <c r="W155" s="20">
        <v>250</v>
      </c>
      <c r="AB155" s="20">
        <v>250</v>
      </c>
      <c r="AF155" s="20">
        <f t="shared" si="60"/>
        <v>1000</v>
      </c>
      <c r="AG155" s="20">
        <f t="shared" si="61"/>
        <v>0</v>
      </c>
      <c r="AH155" s="20">
        <f t="shared" si="62"/>
        <v>0</v>
      </c>
      <c r="AI155" s="20">
        <v>1000</v>
      </c>
      <c r="AJ155" s="20">
        <f t="shared" si="63"/>
        <v>1000</v>
      </c>
      <c r="CH155" s="20" t="s">
        <v>287</v>
      </c>
      <c r="CI155" s="20" t="s">
        <v>290</v>
      </c>
      <c r="CJ155" s="20">
        <f>8*285</f>
        <v>2280</v>
      </c>
      <c r="CK155" s="20">
        <f t="shared" si="52"/>
        <v>1596</v>
      </c>
      <c r="CL155" s="20">
        <f t="shared" si="51"/>
        <v>1484.7785555511416</v>
      </c>
    </row>
    <row r="156" spans="1:91">
      <c r="A156" s="20" t="s">
        <v>555</v>
      </c>
      <c r="B156" s="20" t="s">
        <v>291</v>
      </c>
      <c r="C156" s="20" t="s">
        <v>113</v>
      </c>
      <c r="D156" s="20">
        <v>700</v>
      </c>
      <c r="E156" s="20">
        <v>700</v>
      </c>
      <c r="F156" s="20">
        <v>50</v>
      </c>
      <c r="G156" s="20">
        <v>30</v>
      </c>
      <c r="H156" s="20">
        <v>8.5</v>
      </c>
      <c r="I156" s="20">
        <v>10</v>
      </c>
      <c r="J156" s="20">
        <v>49</v>
      </c>
      <c r="M156" s="20">
        <v>30</v>
      </c>
      <c r="O156" s="20">
        <v>11.9</v>
      </c>
      <c r="P156" s="20">
        <v>8.5</v>
      </c>
      <c r="S156" s="20">
        <f>250/$S$3</f>
        <v>8.0723280594123352</v>
      </c>
      <c r="T156" s="20">
        <f t="shared" si="64"/>
        <v>1.3077999999999999</v>
      </c>
      <c r="W156" s="20">
        <v>120</v>
      </c>
      <c r="AB156" s="20">
        <v>120</v>
      </c>
      <c r="AF156" s="20">
        <f t="shared" si="60"/>
        <v>480</v>
      </c>
      <c r="AG156" s="20">
        <f t="shared" si="61"/>
        <v>0</v>
      </c>
      <c r="AH156" s="20">
        <f t="shared" si="62"/>
        <v>0</v>
      </c>
      <c r="AI156" s="20">
        <v>480</v>
      </c>
      <c r="AJ156" s="20">
        <f t="shared" si="63"/>
        <v>480</v>
      </c>
      <c r="CH156" s="20" t="s">
        <v>292</v>
      </c>
      <c r="CI156" s="20" t="s">
        <v>82</v>
      </c>
      <c r="CJ156" s="20">
        <f>4*285</f>
        <v>1140</v>
      </c>
      <c r="CK156" s="20">
        <f t="shared" si="52"/>
        <v>798</v>
      </c>
      <c r="CL156" s="20">
        <f t="shared" si="51"/>
        <v>872.08171725544241</v>
      </c>
    </row>
    <row r="157" spans="1:91">
      <c r="A157" s="20" t="s">
        <v>555</v>
      </c>
      <c r="B157" s="20" t="s">
        <v>293</v>
      </c>
      <c r="C157" s="20" t="s">
        <v>113</v>
      </c>
      <c r="D157" s="20">
        <v>700</v>
      </c>
      <c r="E157" s="20">
        <v>700</v>
      </c>
      <c r="F157" s="20">
        <v>50</v>
      </c>
      <c r="G157" s="20">
        <v>30</v>
      </c>
      <c r="H157" s="20">
        <v>8.5</v>
      </c>
      <c r="I157" s="20">
        <v>10</v>
      </c>
      <c r="J157" s="20">
        <v>49</v>
      </c>
      <c r="M157" s="20">
        <v>30</v>
      </c>
      <c r="O157" s="20">
        <v>11.9</v>
      </c>
      <c r="P157" s="20">
        <v>8.5</v>
      </c>
      <c r="S157" s="20">
        <f>250/$S$3</f>
        <v>8.0723280594123352</v>
      </c>
      <c r="T157" s="20">
        <f t="shared" si="64"/>
        <v>1.3077999999999999</v>
      </c>
      <c r="W157" s="20">
        <v>175</v>
      </c>
      <c r="AB157" s="20">
        <v>175</v>
      </c>
      <c r="AF157" s="20">
        <f t="shared" si="60"/>
        <v>700</v>
      </c>
      <c r="AG157" s="20">
        <f t="shared" si="61"/>
        <v>0</v>
      </c>
      <c r="AH157" s="20">
        <f t="shared" si="62"/>
        <v>0</v>
      </c>
      <c r="AI157" s="20">
        <v>700</v>
      </c>
      <c r="AJ157" s="20">
        <f t="shared" si="63"/>
        <v>700</v>
      </c>
      <c r="CH157" s="20" t="s">
        <v>292</v>
      </c>
      <c r="CI157" s="20" t="s">
        <v>84</v>
      </c>
      <c r="CJ157" s="20">
        <f>6*285</f>
        <v>1710</v>
      </c>
      <c r="CK157" s="20">
        <f t="shared" si="52"/>
        <v>1197</v>
      </c>
      <c r="CL157" s="20">
        <f t="shared" si="51"/>
        <v>1177.372687303623</v>
      </c>
    </row>
    <row r="158" spans="1:91">
      <c r="A158" s="20" t="s">
        <v>555</v>
      </c>
      <c r="B158" s="20" t="s">
        <v>294</v>
      </c>
      <c r="C158" s="20" t="s">
        <v>113</v>
      </c>
      <c r="D158" s="20">
        <v>700</v>
      </c>
      <c r="E158" s="20">
        <v>700</v>
      </c>
      <c r="F158" s="20">
        <v>50</v>
      </c>
      <c r="G158" s="20">
        <v>30</v>
      </c>
      <c r="H158" s="20">
        <v>8.5</v>
      </c>
      <c r="I158" s="20">
        <v>10</v>
      </c>
      <c r="J158" s="20">
        <v>49</v>
      </c>
      <c r="M158" s="20">
        <v>30</v>
      </c>
      <c r="O158" s="20">
        <v>11.9</v>
      </c>
      <c r="P158" s="20">
        <v>8.5</v>
      </c>
      <c r="S158" s="20">
        <f>250/$S$3</f>
        <v>8.0723280594123352</v>
      </c>
      <c r="T158" s="20">
        <f t="shared" si="64"/>
        <v>1.3077999999999999</v>
      </c>
      <c r="W158" s="20">
        <v>250</v>
      </c>
      <c r="AB158" s="20">
        <v>250</v>
      </c>
      <c r="AF158" s="20">
        <f t="shared" si="60"/>
        <v>1000</v>
      </c>
      <c r="AG158" s="20">
        <f t="shared" si="61"/>
        <v>0</v>
      </c>
      <c r="AH158" s="20">
        <f t="shared" si="62"/>
        <v>0</v>
      </c>
      <c r="AI158" s="20">
        <v>1000</v>
      </c>
      <c r="AJ158" s="20">
        <f t="shared" si="63"/>
        <v>1000</v>
      </c>
      <c r="CH158" s="20" t="s">
        <v>292</v>
      </c>
      <c r="CI158" s="20" t="s">
        <v>290</v>
      </c>
      <c r="CJ158" s="20">
        <f>8*285</f>
        <v>2280</v>
      </c>
      <c r="CK158" s="20">
        <f t="shared" si="52"/>
        <v>1596</v>
      </c>
      <c r="CL158" s="20">
        <f t="shared" si="51"/>
        <v>1593.6785555511417</v>
      </c>
    </row>
    <row r="159" spans="1:91">
      <c r="A159" s="20" t="s">
        <v>555</v>
      </c>
      <c r="B159" s="20" t="s">
        <v>295</v>
      </c>
      <c r="C159" s="20" t="s">
        <v>113</v>
      </c>
      <c r="D159" s="20">
        <v>1000</v>
      </c>
      <c r="E159" s="20">
        <v>1000</v>
      </c>
      <c r="F159" s="20">
        <v>50</v>
      </c>
      <c r="H159" s="20">
        <v>6</v>
      </c>
      <c r="I159" s="20">
        <v>6</v>
      </c>
      <c r="J159" s="20">
        <v>30</v>
      </c>
      <c r="M159" s="20">
        <v>30</v>
      </c>
      <c r="P159" s="20">
        <v>6</v>
      </c>
      <c r="T159" s="20">
        <f t="shared" si="64"/>
        <v>1.3077999999999999</v>
      </c>
      <c r="W159" s="20">
        <v>500</v>
      </c>
      <c r="AB159" s="20">
        <v>500</v>
      </c>
      <c r="AF159" s="20">
        <f t="shared" si="60"/>
        <v>2000</v>
      </c>
      <c r="AG159" s="20">
        <f t="shared" si="61"/>
        <v>0</v>
      </c>
      <c r="AH159" s="20">
        <f t="shared" si="62"/>
        <v>0</v>
      </c>
      <c r="AI159" s="20">
        <v>2000</v>
      </c>
      <c r="AJ159" s="20">
        <f t="shared" si="63"/>
        <v>2000</v>
      </c>
      <c r="CH159" s="20" t="s">
        <v>292</v>
      </c>
      <c r="CI159" s="20" t="s">
        <v>296</v>
      </c>
      <c r="CJ159" s="20">
        <f>11*285</f>
        <v>3135</v>
      </c>
      <c r="CK159" s="20">
        <f t="shared" si="52"/>
        <v>3135</v>
      </c>
      <c r="CL159" s="20">
        <f t="shared" si="51"/>
        <v>2903.3924549834587</v>
      </c>
    </row>
    <row r="160" spans="1:91">
      <c r="A160" s="20" t="s">
        <v>555</v>
      </c>
      <c r="B160" s="20" t="s">
        <v>297</v>
      </c>
      <c r="C160" s="20" t="s">
        <v>123</v>
      </c>
      <c r="D160" s="20">
        <v>700</v>
      </c>
      <c r="E160" s="20">
        <v>700</v>
      </c>
      <c r="F160" s="20">
        <v>50</v>
      </c>
      <c r="G160" s="20">
        <v>30</v>
      </c>
      <c r="H160" s="20">
        <v>8.5</v>
      </c>
      <c r="I160" s="20">
        <v>10</v>
      </c>
      <c r="J160" s="20">
        <v>49</v>
      </c>
      <c r="M160" s="20">
        <v>30</v>
      </c>
      <c r="O160" s="20">
        <v>11.9</v>
      </c>
      <c r="P160" s="20">
        <v>8.5</v>
      </c>
      <c r="S160" s="20">
        <f>250/$S$3</f>
        <v>8.0723280594123352</v>
      </c>
      <c r="T160" s="20">
        <f t="shared" si="64"/>
        <v>1.3077999999999999</v>
      </c>
      <c r="W160" s="20">
        <v>120</v>
      </c>
      <c r="AB160" s="20">
        <v>120</v>
      </c>
      <c r="AF160" s="20">
        <f t="shared" si="60"/>
        <v>480</v>
      </c>
      <c r="AG160" s="20">
        <f t="shared" si="61"/>
        <v>0</v>
      </c>
      <c r="AH160" s="20">
        <f t="shared" si="62"/>
        <v>0</v>
      </c>
      <c r="AI160" s="20">
        <v>480</v>
      </c>
      <c r="AJ160" s="20">
        <f t="shared" si="63"/>
        <v>480</v>
      </c>
      <c r="CH160" s="20" t="s">
        <v>292</v>
      </c>
      <c r="CI160" s="20" t="s">
        <v>169</v>
      </c>
      <c r="CJ160" s="20">
        <f>(4.5+5.5)/2*285</f>
        <v>1425</v>
      </c>
      <c r="CK160" s="20">
        <f t="shared" si="52"/>
        <v>997.5</v>
      </c>
      <c r="CL160" s="20">
        <f t="shared" si="51"/>
        <v>872.08171725544241</v>
      </c>
    </row>
    <row r="161" spans="1:91">
      <c r="A161" s="20" t="s">
        <v>555</v>
      </c>
      <c r="B161" s="20" t="s">
        <v>298</v>
      </c>
      <c r="C161" s="20" t="s">
        <v>123</v>
      </c>
      <c r="D161" s="20">
        <v>700</v>
      </c>
      <c r="E161" s="20">
        <v>700</v>
      </c>
      <c r="F161" s="20">
        <v>50</v>
      </c>
      <c r="G161" s="20">
        <v>30</v>
      </c>
      <c r="H161" s="20">
        <v>8.5</v>
      </c>
      <c r="I161" s="20">
        <v>10</v>
      </c>
      <c r="J161" s="20">
        <v>49</v>
      </c>
      <c r="M161" s="20">
        <v>30</v>
      </c>
      <c r="O161" s="20">
        <v>11.9</v>
      </c>
      <c r="P161" s="20">
        <v>8.5</v>
      </c>
      <c r="S161" s="20">
        <f>250/$S$3</f>
        <v>8.0723280594123352</v>
      </c>
      <c r="T161" s="20">
        <f t="shared" si="64"/>
        <v>1.3077999999999999</v>
      </c>
      <c r="W161" s="20">
        <v>175</v>
      </c>
      <c r="AB161" s="20">
        <v>175</v>
      </c>
      <c r="AF161" s="20">
        <f t="shared" si="60"/>
        <v>700</v>
      </c>
      <c r="AG161" s="20">
        <f t="shared" si="61"/>
        <v>0</v>
      </c>
      <c r="AH161" s="20">
        <f t="shared" si="62"/>
        <v>0</v>
      </c>
      <c r="AI161" s="20">
        <v>700</v>
      </c>
      <c r="AJ161" s="20">
        <f t="shared" si="63"/>
        <v>700</v>
      </c>
      <c r="CH161" s="20" t="s">
        <v>292</v>
      </c>
      <c r="CI161" s="20" t="s">
        <v>299</v>
      </c>
      <c r="CJ161" s="20">
        <f>(6+7)/2*285</f>
        <v>1852.5</v>
      </c>
      <c r="CK161" s="20">
        <f t="shared" si="52"/>
        <v>1296.75</v>
      </c>
      <c r="CL161" s="20">
        <f t="shared" si="51"/>
        <v>1177.372687303623</v>
      </c>
    </row>
    <row r="162" spans="1:91">
      <c r="A162" s="20" t="s">
        <v>555</v>
      </c>
      <c r="B162" s="20" t="s">
        <v>300</v>
      </c>
      <c r="C162" s="20" t="s">
        <v>123</v>
      </c>
      <c r="D162" s="20">
        <v>700</v>
      </c>
      <c r="E162" s="20">
        <v>700</v>
      </c>
      <c r="F162" s="20">
        <v>50</v>
      </c>
      <c r="G162" s="20">
        <v>30</v>
      </c>
      <c r="H162" s="20">
        <v>8.5</v>
      </c>
      <c r="I162" s="20">
        <v>10</v>
      </c>
      <c r="J162" s="20">
        <v>49</v>
      </c>
      <c r="M162" s="20">
        <v>30</v>
      </c>
      <c r="O162" s="20">
        <v>11.9</v>
      </c>
      <c r="P162" s="20">
        <v>8.5</v>
      </c>
      <c r="S162" s="20">
        <f>250/$S$3</f>
        <v>8.0723280594123352</v>
      </c>
      <c r="T162" s="20">
        <f t="shared" si="64"/>
        <v>1.3077999999999999</v>
      </c>
      <c r="W162" s="20">
        <v>250</v>
      </c>
      <c r="AB162" s="20">
        <v>250</v>
      </c>
      <c r="AF162" s="20">
        <f t="shared" si="60"/>
        <v>1000</v>
      </c>
      <c r="AG162" s="20">
        <f t="shared" si="61"/>
        <v>0</v>
      </c>
      <c r="AH162" s="20">
        <f t="shared" si="62"/>
        <v>0</v>
      </c>
      <c r="AI162" s="20">
        <v>1000</v>
      </c>
      <c r="AJ162" s="20">
        <f t="shared" si="63"/>
        <v>1000</v>
      </c>
      <c r="CH162" s="20" t="s">
        <v>292</v>
      </c>
      <c r="CI162" s="20" t="s">
        <v>301</v>
      </c>
      <c r="CJ162" s="20">
        <f>(9+10)/2*285</f>
        <v>2707.5</v>
      </c>
      <c r="CK162" s="20">
        <f t="shared" si="52"/>
        <v>1895.25</v>
      </c>
      <c r="CL162" s="20">
        <f t="shared" si="51"/>
        <v>1593.6785555511417</v>
      </c>
    </row>
    <row r="163" spans="1:91">
      <c r="A163" s="20" t="s">
        <v>555</v>
      </c>
      <c r="B163" s="20" t="s">
        <v>302</v>
      </c>
      <c r="C163" s="20" t="s">
        <v>156</v>
      </c>
      <c r="D163" s="20">
        <v>1000</v>
      </c>
      <c r="E163" s="20">
        <v>1000</v>
      </c>
      <c r="F163" s="20">
        <v>50</v>
      </c>
      <c r="G163" s="20">
        <v>30</v>
      </c>
      <c r="H163" s="20">
        <v>8</v>
      </c>
      <c r="I163" s="20">
        <v>6</v>
      </c>
      <c r="J163" s="20">
        <v>50</v>
      </c>
      <c r="K163" s="20">
        <v>6</v>
      </c>
      <c r="O163" s="20">
        <v>34</v>
      </c>
      <c r="P163" s="20">
        <v>8</v>
      </c>
      <c r="S163" s="20">
        <v>8</v>
      </c>
      <c r="T163" s="20">
        <f t="shared" si="64"/>
        <v>1.3077999999999999</v>
      </c>
      <c r="W163" s="20">
        <v>120</v>
      </c>
      <c r="AB163" s="20">
        <v>120</v>
      </c>
      <c r="AE163" s="20">
        <v>20</v>
      </c>
      <c r="AF163" s="20">
        <f t="shared" si="60"/>
        <v>480</v>
      </c>
      <c r="AG163" s="20">
        <f t="shared" si="61"/>
        <v>0</v>
      </c>
      <c r="AH163" s="20">
        <f t="shared" si="62"/>
        <v>80</v>
      </c>
      <c r="AI163" s="20">
        <v>560</v>
      </c>
      <c r="AJ163" s="20">
        <v>480</v>
      </c>
      <c r="AK163" s="20">
        <v>158</v>
      </c>
      <c r="AM163" s="20">
        <v>2.5</v>
      </c>
      <c r="AN163" s="20">
        <v>1.1200000000000001</v>
      </c>
      <c r="AO163" s="20">
        <v>0.9</v>
      </c>
      <c r="AP163" s="20">
        <v>1.76</v>
      </c>
      <c r="AQ163" s="20">
        <v>1.3</v>
      </c>
      <c r="AR163" s="20">
        <v>0.26</v>
      </c>
      <c r="AS163" s="20">
        <v>0.7</v>
      </c>
      <c r="AT163" s="20">
        <v>1.87</v>
      </c>
      <c r="AU163" s="20">
        <v>0.2</v>
      </c>
      <c r="AW163" s="20">
        <v>7.0000000000000007E-2</v>
      </c>
      <c r="AX163" s="20">
        <v>1.2</v>
      </c>
      <c r="AY163" s="20">
        <v>1.58</v>
      </c>
      <c r="AZ163" s="20">
        <v>1.24</v>
      </c>
      <c r="BA163" s="20">
        <v>0.66</v>
      </c>
      <c r="BB163" s="20">
        <v>0.44</v>
      </c>
      <c r="BC163" s="20">
        <v>2.14</v>
      </c>
      <c r="BD163" s="20">
        <v>0.76</v>
      </c>
      <c r="BE163" s="20">
        <v>1.3</v>
      </c>
      <c r="BG163" s="20">
        <v>1.0900000000000001</v>
      </c>
      <c r="BH163" s="20">
        <v>3.04</v>
      </c>
      <c r="BI163" s="20">
        <v>22.6</v>
      </c>
      <c r="CH163" s="20" t="s">
        <v>243</v>
      </c>
      <c r="CI163" s="20" t="s">
        <v>82</v>
      </c>
      <c r="CJ163" s="20">
        <f>4*285</f>
        <v>1140</v>
      </c>
      <c r="CK163" s="20">
        <f t="shared" si="52"/>
        <v>1140</v>
      </c>
      <c r="CL163" s="20">
        <f t="shared" si="51"/>
        <v>866.27063868649032</v>
      </c>
      <c r="CM163" s="20" t="s">
        <v>303</v>
      </c>
    </row>
    <row r="164" spans="1:91">
      <c r="A164" s="20" t="s">
        <v>555</v>
      </c>
      <c r="B164" s="20" t="s">
        <v>304</v>
      </c>
      <c r="C164" s="20" t="s">
        <v>156</v>
      </c>
      <c r="D164" s="20">
        <v>1100</v>
      </c>
      <c r="E164" s="20">
        <v>1100</v>
      </c>
      <c r="F164" s="20">
        <v>50</v>
      </c>
      <c r="G164" s="20">
        <v>30</v>
      </c>
      <c r="H164" s="20">
        <v>8</v>
      </c>
      <c r="I164" s="20">
        <v>6</v>
      </c>
      <c r="J164" s="20">
        <v>50</v>
      </c>
      <c r="K164" s="20">
        <v>6</v>
      </c>
      <c r="O164" s="20">
        <v>40</v>
      </c>
      <c r="P164" s="20">
        <v>8</v>
      </c>
      <c r="S164" s="20">
        <v>8</v>
      </c>
      <c r="T164" s="20">
        <f t="shared" si="64"/>
        <v>1.3077999999999999</v>
      </c>
      <c r="W164" s="20">
        <v>180</v>
      </c>
      <c r="AB164" s="20">
        <v>180</v>
      </c>
      <c r="AE164" s="20">
        <v>30</v>
      </c>
      <c r="AF164" s="20">
        <f t="shared" si="60"/>
        <v>720</v>
      </c>
      <c r="AG164" s="20">
        <f t="shared" si="61"/>
        <v>0</v>
      </c>
      <c r="AH164" s="20">
        <f t="shared" si="62"/>
        <v>120</v>
      </c>
      <c r="AI164" s="20">
        <v>840</v>
      </c>
      <c r="AJ164" s="20">
        <v>720</v>
      </c>
      <c r="AK164" s="20">
        <v>158</v>
      </c>
      <c r="AM164" s="20">
        <v>3.75</v>
      </c>
      <c r="AN164" s="20">
        <v>1.68</v>
      </c>
      <c r="AO164" s="20">
        <v>1.35</v>
      </c>
      <c r="AP164" s="20">
        <v>2.64</v>
      </c>
      <c r="AQ164" s="20">
        <v>1.95</v>
      </c>
      <c r="AR164" s="20">
        <v>0.39</v>
      </c>
      <c r="AS164" s="20">
        <v>1.05</v>
      </c>
      <c r="AT164" s="20">
        <v>2.8050000000000002</v>
      </c>
      <c r="AU164" s="20">
        <v>0.3</v>
      </c>
      <c r="AW164" s="20">
        <v>0.105</v>
      </c>
      <c r="AX164" s="20">
        <v>1.8</v>
      </c>
      <c r="AY164" s="20">
        <v>2.37</v>
      </c>
      <c r="AZ164" s="20">
        <v>1.86</v>
      </c>
      <c r="BA164" s="20">
        <v>0.99</v>
      </c>
      <c r="BB164" s="20">
        <v>0.66</v>
      </c>
      <c r="BC164" s="20">
        <v>3.21</v>
      </c>
      <c r="BD164" s="20">
        <v>1.1399999999999999</v>
      </c>
      <c r="BE164" s="20">
        <v>1.95</v>
      </c>
      <c r="BG164" s="20">
        <v>1.0900000000000001</v>
      </c>
      <c r="BH164" s="20">
        <v>4.5599999999999996</v>
      </c>
      <c r="BI164" s="20">
        <v>22.6</v>
      </c>
      <c r="CH164" s="20" t="s">
        <v>243</v>
      </c>
      <c r="CI164" s="20" t="s">
        <v>243</v>
      </c>
      <c r="CJ164" s="20">
        <f>5*285</f>
        <v>1425</v>
      </c>
      <c r="CK164" s="20">
        <f t="shared" si="52"/>
        <v>1567.5</v>
      </c>
      <c r="CL164" s="20">
        <f t="shared" si="51"/>
        <v>1205.3959580297355</v>
      </c>
      <c r="CM164" s="20" t="s">
        <v>305</v>
      </c>
    </row>
    <row r="165" spans="1:91">
      <c r="A165" s="20" t="s">
        <v>555</v>
      </c>
      <c r="B165" s="20" t="s">
        <v>306</v>
      </c>
      <c r="C165" s="20" t="s">
        <v>156</v>
      </c>
      <c r="D165" s="20">
        <v>1200</v>
      </c>
      <c r="E165" s="20">
        <v>1200</v>
      </c>
      <c r="F165" s="20">
        <v>51</v>
      </c>
      <c r="G165" s="20">
        <v>30</v>
      </c>
      <c r="H165" s="20">
        <v>8</v>
      </c>
      <c r="I165" s="20">
        <v>6</v>
      </c>
      <c r="J165" s="20">
        <v>50</v>
      </c>
      <c r="K165" s="20">
        <v>6</v>
      </c>
      <c r="O165" s="20">
        <v>46</v>
      </c>
      <c r="P165" s="20">
        <v>8</v>
      </c>
      <c r="S165" s="20">
        <v>8</v>
      </c>
      <c r="T165" s="20">
        <f t="shared" si="64"/>
        <v>1.3077999999999999</v>
      </c>
      <c r="W165" s="20">
        <v>250.4</v>
      </c>
      <c r="AB165" s="20">
        <v>250.4</v>
      </c>
      <c r="AE165" s="20">
        <v>40</v>
      </c>
      <c r="AF165" s="20">
        <f t="shared" si="60"/>
        <v>1001.6</v>
      </c>
      <c r="AG165" s="20">
        <f t="shared" si="61"/>
        <v>0</v>
      </c>
      <c r="AH165" s="20">
        <f t="shared" si="62"/>
        <v>160</v>
      </c>
      <c r="AI165" s="20">
        <v>1160</v>
      </c>
      <c r="AJ165" s="20">
        <v>1000</v>
      </c>
      <c r="AK165" s="20">
        <v>164</v>
      </c>
      <c r="AM165" s="20">
        <v>5</v>
      </c>
      <c r="AN165" s="20">
        <v>2.2400000000000002</v>
      </c>
      <c r="AO165" s="20">
        <v>1.8</v>
      </c>
      <c r="AP165" s="20">
        <v>3.5289999999999999</v>
      </c>
      <c r="AQ165" s="20">
        <v>2.6</v>
      </c>
      <c r="AR165" s="20">
        <v>0.52</v>
      </c>
      <c r="AS165" s="20">
        <v>1.4</v>
      </c>
      <c r="AT165" s="20">
        <v>3.74</v>
      </c>
      <c r="AU165" s="20">
        <v>0.4</v>
      </c>
      <c r="AW165" s="20">
        <v>0.14000000000000001</v>
      </c>
      <c r="AX165" s="20">
        <v>2.4</v>
      </c>
      <c r="AY165" s="20">
        <v>3.16</v>
      </c>
      <c r="AZ165" s="20">
        <v>2.48</v>
      </c>
      <c r="BA165" s="20">
        <v>1.32</v>
      </c>
      <c r="BB165" s="20">
        <v>0.88</v>
      </c>
      <c r="BC165" s="20">
        <v>4.28</v>
      </c>
      <c r="BD165" s="20">
        <v>1.52</v>
      </c>
      <c r="BE165" s="20">
        <v>2.6</v>
      </c>
      <c r="BG165" s="20">
        <v>1.0900000000000001</v>
      </c>
      <c r="BH165" s="20">
        <v>6.08</v>
      </c>
      <c r="BI165" s="20">
        <v>22.6</v>
      </c>
      <c r="CH165" s="20" t="s">
        <v>243</v>
      </c>
      <c r="CI165" s="20" t="s">
        <v>307</v>
      </c>
      <c r="CJ165" s="20">
        <f>7*285</f>
        <v>1995</v>
      </c>
      <c r="CK165" s="20">
        <f t="shared" si="52"/>
        <v>2394</v>
      </c>
      <c r="CL165" s="20">
        <f t="shared" si="51"/>
        <v>1603.2490860003552</v>
      </c>
      <c r="CM165" s="20" t="s">
        <v>308</v>
      </c>
    </row>
    <row r="166" spans="1:91">
      <c r="A166" s="20" t="s">
        <v>555</v>
      </c>
      <c r="B166" s="20" t="s">
        <v>309</v>
      </c>
      <c r="C166" s="20" t="s">
        <v>96</v>
      </c>
      <c r="D166" s="20">
        <v>1000</v>
      </c>
      <c r="E166" s="20">
        <v>1000</v>
      </c>
      <c r="F166" s="20">
        <v>50</v>
      </c>
      <c r="G166" s="20">
        <v>22</v>
      </c>
      <c r="H166" s="20">
        <v>4</v>
      </c>
      <c r="I166" s="20">
        <v>4</v>
      </c>
      <c r="J166" s="20">
        <v>50</v>
      </c>
      <c r="K166" s="20">
        <v>4</v>
      </c>
      <c r="O166" s="20">
        <v>47</v>
      </c>
      <c r="Q166" s="20">
        <v>4</v>
      </c>
      <c r="S166" s="20">
        <v>5</v>
      </c>
      <c r="T166" s="20">
        <f t="shared" si="64"/>
        <v>1.3077999999999999</v>
      </c>
      <c r="W166" s="20">
        <v>120</v>
      </c>
      <c r="AB166" s="20">
        <v>120</v>
      </c>
      <c r="AE166" s="20">
        <v>20</v>
      </c>
      <c r="AF166" s="20">
        <f t="shared" si="60"/>
        <v>480</v>
      </c>
      <c r="AG166" s="20">
        <f t="shared" si="61"/>
        <v>0</v>
      </c>
      <c r="AH166" s="20">
        <f t="shared" si="62"/>
        <v>80</v>
      </c>
      <c r="AI166" s="20">
        <v>560</v>
      </c>
      <c r="AJ166" s="20">
        <v>480</v>
      </c>
      <c r="AK166" s="20">
        <v>153</v>
      </c>
      <c r="AM166" s="20">
        <v>2.8</v>
      </c>
      <c r="AN166" s="20">
        <v>1.6</v>
      </c>
      <c r="AO166" s="20">
        <v>1.6</v>
      </c>
      <c r="AP166" s="20">
        <v>2.1</v>
      </c>
      <c r="AQ166" s="20">
        <v>1.1399999999999999</v>
      </c>
      <c r="AR166" s="20">
        <v>0.4</v>
      </c>
      <c r="AS166" s="20">
        <v>0.78</v>
      </c>
      <c r="AT166" s="20">
        <v>1.4</v>
      </c>
      <c r="AU166" s="20">
        <v>0.2</v>
      </c>
      <c r="AW166" s="20">
        <v>0.1</v>
      </c>
      <c r="AX166" s="20">
        <v>1</v>
      </c>
      <c r="AY166" s="20">
        <v>2.1</v>
      </c>
      <c r="AZ166" s="20">
        <v>1.6</v>
      </c>
      <c r="BA166" s="20">
        <v>1</v>
      </c>
      <c r="BB166" s="20">
        <v>0.6</v>
      </c>
      <c r="BC166" s="20">
        <v>1.18</v>
      </c>
      <c r="BD166" s="20">
        <v>0.2</v>
      </c>
      <c r="BE166" s="20">
        <v>0.2</v>
      </c>
      <c r="BG166" s="20">
        <v>1.44</v>
      </c>
      <c r="BH166" s="20">
        <v>3.13</v>
      </c>
      <c r="BI166" s="20">
        <v>30</v>
      </c>
      <c r="BL166" s="20">
        <v>1.95</v>
      </c>
      <c r="BM166" s="20">
        <v>2.2999999999999998</v>
      </c>
      <c r="BN166" s="20">
        <v>2.4500000000000002</v>
      </c>
      <c r="BO166" s="20">
        <v>2.5</v>
      </c>
      <c r="BP166" s="20">
        <v>20</v>
      </c>
      <c r="BQ166" s="20">
        <v>7</v>
      </c>
      <c r="BR166" s="20">
        <f>0.2*1000</f>
        <v>200</v>
      </c>
      <c r="BS166" s="20">
        <v>30</v>
      </c>
      <c r="BT166" s="20">
        <v>50</v>
      </c>
      <c r="BU166" s="20">
        <v>1650</v>
      </c>
      <c r="BV166" s="20">
        <v>2.5</v>
      </c>
      <c r="BW166" s="20">
        <v>5</v>
      </c>
      <c r="BX166" s="20">
        <v>1</v>
      </c>
      <c r="CH166" s="20" t="s">
        <v>310</v>
      </c>
      <c r="CI166" s="20" t="s">
        <v>82</v>
      </c>
      <c r="CJ166" s="20">
        <f>4*285</f>
        <v>1140</v>
      </c>
      <c r="CK166" s="20">
        <f t="shared" si="52"/>
        <v>1140</v>
      </c>
      <c r="CL166" s="20">
        <f t="shared" si="51"/>
        <v>856.2678257291218</v>
      </c>
      <c r="CM166" s="20" t="s">
        <v>371</v>
      </c>
    </row>
    <row r="167" spans="1:91">
      <c r="A167" s="20" t="s">
        <v>555</v>
      </c>
      <c r="B167" s="20" t="s">
        <v>311</v>
      </c>
      <c r="C167" s="20" t="s">
        <v>96</v>
      </c>
      <c r="D167" s="20">
        <v>1000</v>
      </c>
      <c r="E167" s="20">
        <v>1000</v>
      </c>
      <c r="F167" s="20">
        <v>50</v>
      </c>
      <c r="G167" s="20">
        <v>27</v>
      </c>
      <c r="H167" s="20">
        <v>5</v>
      </c>
      <c r="I167" s="20">
        <v>5</v>
      </c>
      <c r="J167" s="20">
        <v>50</v>
      </c>
      <c r="K167" s="20">
        <v>5</v>
      </c>
      <c r="N167" s="20">
        <v>12</v>
      </c>
      <c r="O167" s="20">
        <v>53</v>
      </c>
      <c r="Q167" s="20">
        <v>12</v>
      </c>
      <c r="S167" s="20">
        <v>6</v>
      </c>
      <c r="T167" s="20">
        <f t="shared" si="64"/>
        <v>1.3077999999999999</v>
      </c>
      <c r="W167" s="20">
        <v>175</v>
      </c>
      <c r="AB167" s="20">
        <v>175</v>
      </c>
      <c r="AE167" s="20">
        <v>30</v>
      </c>
      <c r="AF167" s="20">
        <f t="shared" si="60"/>
        <v>700</v>
      </c>
      <c r="AG167" s="20">
        <f t="shared" si="61"/>
        <v>0</v>
      </c>
      <c r="AH167" s="20">
        <f t="shared" si="62"/>
        <v>120</v>
      </c>
      <c r="AI167" s="20">
        <v>820</v>
      </c>
      <c r="AJ167" s="20">
        <v>700</v>
      </c>
      <c r="AK167" s="20">
        <v>149</v>
      </c>
      <c r="AM167" s="20">
        <v>4.2</v>
      </c>
      <c r="AN167" s="20">
        <v>2.4</v>
      </c>
      <c r="AO167" s="20">
        <v>2.4</v>
      </c>
      <c r="AP167" s="20">
        <v>3.15</v>
      </c>
      <c r="AQ167" s="20">
        <v>1.71</v>
      </c>
      <c r="AR167" s="20">
        <v>0.6</v>
      </c>
      <c r="AS167" s="20">
        <v>1.17</v>
      </c>
      <c r="AT167" s="20">
        <v>2.1</v>
      </c>
      <c r="AU167" s="20">
        <v>0.3</v>
      </c>
      <c r="AW167" s="20">
        <v>0.15</v>
      </c>
      <c r="AX167" s="20">
        <v>1.5</v>
      </c>
      <c r="AY167" s="20">
        <v>3.15</v>
      </c>
      <c r="AZ167" s="20">
        <v>2.4</v>
      </c>
      <c r="BA167" s="20">
        <v>1.5</v>
      </c>
      <c r="BB167" s="20">
        <v>0.9</v>
      </c>
      <c r="BC167" s="20">
        <v>1.77</v>
      </c>
      <c r="BD167" s="20">
        <v>0.3</v>
      </c>
      <c r="BE167" s="20">
        <v>0.3</v>
      </c>
      <c r="BG167" s="20">
        <v>1.44</v>
      </c>
      <c r="BH167" s="20">
        <v>4.7</v>
      </c>
      <c r="BI167" s="20">
        <v>30</v>
      </c>
      <c r="BL167" s="20">
        <v>1.95</v>
      </c>
      <c r="BM167" s="20">
        <v>2.2999999999999998</v>
      </c>
      <c r="BN167" s="20">
        <v>2.4500000000000002</v>
      </c>
      <c r="BO167" s="20">
        <v>2.5</v>
      </c>
      <c r="BP167" s="20">
        <v>20</v>
      </c>
      <c r="BQ167" s="20">
        <v>7</v>
      </c>
      <c r="BR167" s="20">
        <f>0.2*1000</f>
        <v>200</v>
      </c>
      <c r="BS167" s="20">
        <v>30</v>
      </c>
      <c r="BT167" s="20">
        <v>50</v>
      </c>
      <c r="BU167" s="20">
        <v>1650</v>
      </c>
      <c r="BV167" s="20">
        <v>2.5</v>
      </c>
      <c r="BW167" s="20">
        <v>5</v>
      </c>
      <c r="BX167" s="20">
        <v>1</v>
      </c>
      <c r="CH167" s="20" t="s">
        <v>312</v>
      </c>
      <c r="CI167" s="20" t="s">
        <v>243</v>
      </c>
      <c r="CJ167" s="20">
        <f>5*285</f>
        <v>1425</v>
      </c>
      <c r="CK167" s="20">
        <f t="shared" si="52"/>
        <v>1425</v>
      </c>
      <c r="CL167" s="20">
        <f t="shared" si="51"/>
        <v>1196.6380140438482</v>
      </c>
      <c r="CM167" s="20" t="s">
        <v>372</v>
      </c>
    </row>
    <row r="168" spans="1:91">
      <c r="A168" s="20" t="s">
        <v>555</v>
      </c>
      <c r="B168" s="20" t="s">
        <v>378</v>
      </c>
      <c r="C168" s="20" t="s">
        <v>276</v>
      </c>
      <c r="D168" s="20">
        <v>903</v>
      </c>
      <c r="E168" s="20">
        <v>903</v>
      </c>
      <c r="F168" s="20">
        <v>50</v>
      </c>
      <c r="G168" s="20">
        <v>30</v>
      </c>
      <c r="H168" s="20">
        <v>8.5</v>
      </c>
      <c r="I168" s="20">
        <v>10</v>
      </c>
      <c r="J168" s="20">
        <v>49</v>
      </c>
      <c r="M168" s="20">
        <v>30</v>
      </c>
      <c r="O168" s="20">
        <v>11.9</v>
      </c>
      <c r="P168" s="20">
        <v>8.5</v>
      </c>
      <c r="S168" s="20">
        <f>250/$S$3</f>
        <v>8.0723280594123352</v>
      </c>
      <c r="T168" s="20">
        <f t="shared" si="64"/>
        <v>1.3077999999999999</v>
      </c>
      <c r="W168" s="20">
        <v>120</v>
      </c>
      <c r="AB168" s="20">
        <v>120</v>
      </c>
      <c r="AE168" s="20">
        <v>20</v>
      </c>
      <c r="AF168" s="20">
        <f t="shared" si="60"/>
        <v>480</v>
      </c>
      <c r="AG168" s="20">
        <f t="shared" si="61"/>
        <v>0</v>
      </c>
      <c r="AH168" s="20">
        <f t="shared" si="62"/>
        <v>80</v>
      </c>
      <c r="AI168" s="20">
        <v>560</v>
      </c>
      <c r="AJ168" s="20">
        <v>480</v>
      </c>
      <c r="AK168" s="20">
        <v>154</v>
      </c>
      <c r="AM168" s="20">
        <v>2.7</v>
      </c>
      <c r="AN168" s="20">
        <v>1.7</v>
      </c>
      <c r="AO168" s="20">
        <v>1.8</v>
      </c>
      <c r="AP168" s="20">
        <v>1.6</v>
      </c>
      <c r="AQ168" s="20">
        <v>0.96</v>
      </c>
      <c r="AR168" s="20">
        <v>0.32</v>
      </c>
      <c r="AS168" s="20">
        <v>0.78</v>
      </c>
      <c r="AT168" s="20">
        <v>1.54</v>
      </c>
      <c r="AU168" s="20">
        <v>0.2</v>
      </c>
      <c r="AW168" s="20">
        <v>0.1</v>
      </c>
      <c r="AX168" s="20">
        <v>0.94</v>
      </c>
      <c r="AY168" s="20">
        <v>2.2200000000000002</v>
      </c>
      <c r="AZ168" s="20">
        <v>1.72</v>
      </c>
      <c r="BA168" s="20">
        <v>1.28</v>
      </c>
      <c r="BB168" s="20">
        <v>0.84</v>
      </c>
      <c r="BC168" s="20">
        <v>1.1000000000000001</v>
      </c>
      <c r="BD168" s="20">
        <v>0.1</v>
      </c>
      <c r="BE168" s="20">
        <v>0.1</v>
      </c>
      <c r="BG168" s="20">
        <v>1.33</v>
      </c>
      <c r="BH168" s="20">
        <v>3.12</v>
      </c>
      <c r="BI168" s="20">
        <v>31</v>
      </c>
      <c r="BL168" s="20">
        <v>1.5</v>
      </c>
      <c r="BM168" s="20">
        <v>2.54</v>
      </c>
      <c r="BN168" s="20">
        <v>2</v>
      </c>
      <c r="BO168" s="20">
        <v>5</v>
      </c>
      <c r="BP168" s="20">
        <v>20</v>
      </c>
      <c r="BQ168" s="20">
        <v>7.02</v>
      </c>
      <c r="BR168" s="20">
        <f>0.2*1000</f>
        <v>200</v>
      </c>
      <c r="BS168" s="20">
        <v>50</v>
      </c>
      <c r="BT168" s="20">
        <v>50</v>
      </c>
      <c r="BU168" s="20">
        <v>1650</v>
      </c>
      <c r="BV168" s="20">
        <v>5</v>
      </c>
      <c r="BW168" s="20">
        <v>7.5</v>
      </c>
      <c r="BX168" s="20">
        <v>1</v>
      </c>
      <c r="CH168" s="20" t="s">
        <v>169</v>
      </c>
      <c r="CI168" s="20" t="s">
        <v>82</v>
      </c>
      <c r="CJ168" s="20">
        <f>4*285</f>
        <v>1140</v>
      </c>
      <c r="CK168" s="20">
        <f t="shared" si="52"/>
        <v>1029.42</v>
      </c>
      <c r="CL168" s="20">
        <f t="shared" si="51"/>
        <v>872.24125373299466</v>
      </c>
      <c r="CM168" s="20" t="s">
        <v>373</v>
      </c>
    </row>
    <row r="169" spans="1:91">
      <c r="A169" s="20" t="s">
        <v>555</v>
      </c>
      <c r="B169" s="20" t="s">
        <v>379</v>
      </c>
      <c r="C169" s="20" t="s">
        <v>276</v>
      </c>
      <c r="D169" s="20">
        <v>1354.5</v>
      </c>
      <c r="E169" s="20">
        <v>1354.5</v>
      </c>
      <c r="F169" s="20">
        <v>75</v>
      </c>
      <c r="G169" s="20">
        <v>45</v>
      </c>
      <c r="H169" s="20">
        <v>12.75</v>
      </c>
      <c r="I169" s="20">
        <v>15</v>
      </c>
      <c r="J169" s="20">
        <v>73.5</v>
      </c>
      <c r="M169" s="20">
        <v>45</v>
      </c>
      <c r="O169" s="20">
        <v>17.850000000000001</v>
      </c>
      <c r="P169" s="20">
        <v>12.75</v>
      </c>
      <c r="S169" s="20">
        <f>375/$S$3</f>
        <v>12.108492089118503</v>
      </c>
      <c r="T169" s="20">
        <f>30*T$3/1000</f>
        <v>1.9617</v>
      </c>
      <c r="W169" s="20">
        <v>180</v>
      </c>
      <c r="AB169" s="20">
        <v>180</v>
      </c>
      <c r="AE169" s="20">
        <v>30</v>
      </c>
      <c r="AF169" s="20">
        <f t="shared" si="60"/>
        <v>720</v>
      </c>
      <c r="AG169" s="20">
        <f t="shared" si="61"/>
        <v>0</v>
      </c>
      <c r="AH169" s="20">
        <f t="shared" si="62"/>
        <v>120</v>
      </c>
      <c r="AI169" s="20">
        <v>840</v>
      </c>
      <c r="AJ169" s="20">
        <v>720</v>
      </c>
      <c r="AK169" s="20">
        <v>154</v>
      </c>
      <c r="AM169" s="20">
        <v>4.05</v>
      </c>
      <c r="AN169" s="20">
        <v>2.5499999999999998</v>
      </c>
      <c r="AO169" s="20">
        <v>2.7</v>
      </c>
      <c r="AP169" s="20">
        <v>2.4</v>
      </c>
      <c r="AQ169" s="20">
        <v>1.44</v>
      </c>
      <c r="AR169" s="20">
        <v>0.48</v>
      </c>
      <c r="AS169" s="20">
        <v>1.17</v>
      </c>
      <c r="AT169" s="20">
        <v>2.31</v>
      </c>
      <c r="AU169" s="20">
        <v>0.3</v>
      </c>
      <c r="AW169" s="20">
        <v>0.15</v>
      </c>
      <c r="AX169" s="20">
        <v>1.41</v>
      </c>
      <c r="AY169" s="20">
        <v>3.33</v>
      </c>
      <c r="AZ169" s="20">
        <v>2.58</v>
      </c>
      <c r="BA169" s="20">
        <v>1.92</v>
      </c>
      <c r="BB169" s="20">
        <v>1.26</v>
      </c>
      <c r="BC169" s="20">
        <v>1.65</v>
      </c>
      <c r="BD169" s="20">
        <v>0.15</v>
      </c>
      <c r="BE169" s="20">
        <v>0.15</v>
      </c>
      <c r="BG169" s="20">
        <v>1.33</v>
      </c>
      <c r="BH169" s="20">
        <v>4.68</v>
      </c>
      <c r="BI169" s="20">
        <v>31</v>
      </c>
      <c r="BL169" s="20">
        <v>2.25</v>
      </c>
      <c r="BM169" s="20">
        <v>3.81</v>
      </c>
      <c r="BN169" s="20">
        <v>3</v>
      </c>
      <c r="BO169" s="20">
        <v>7.5</v>
      </c>
      <c r="BP169" s="20">
        <v>30</v>
      </c>
      <c r="BQ169" s="20">
        <v>10.53</v>
      </c>
      <c r="BR169" s="20">
        <f>0.3*1000</f>
        <v>300</v>
      </c>
      <c r="BS169" s="20">
        <v>75</v>
      </c>
      <c r="BT169" s="20">
        <v>75</v>
      </c>
      <c r="BU169" s="20">
        <v>2475</v>
      </c>
      <c r="BV169" s="20">
        <v>7.5</v>
      </c>
      <c r="BW169" s="20">
        <v>11.25</v>
      </c>
      <c r="BX169" s="20">
        <v>1.5</v>
      </c>
      <c r="CH169" s="20" t="s">
        <v>169</v>
      </c>
      <c r="CI169" s="20" t="s">
        <v>82</v>
      </c>
      <c r="CJ169" s="20">
        <f>4*285</f>
        <v>1140</v>
      </c>
      <c r="CK169" s="20">
        <f t="shared" si="52"/>
        <v>1544.13</v>
      </c>
      <c r="CL169" s="20">
        <f t="shared" si="51"/>
        <v>1308.3618805994922</v>
      </c>
      <c r="CM169" s="20" t="s">
        <v>374</v>
      </c>
    </row>
    <row r="170" spans="1:91">
      <c r="A170" s="20" t="s">
        <v>555</v>
      </c>
      <c r="B170" s="20" t="s">
        <v>380</v>
      </c>
      <c r="C170" s="20" t="s">
        <v>276</v>
      </c>
      <c r="D170" s="20">
        <v>1003</v>
      </c>
      <c r="E170" s="20">
        <v>1003</v>
      </c>
      <c r="F170" s="20">
        <v>50</v>
      </c>
      <c r="G170" s="20">
        <v>30</v>
      </c>
      <c r="H170" s="20">
        <v>8.5</v>
      </c>
      <c r="I170" s="20">
        <v>10</v>
      </c>
      <c r="J170" s="20">
        <v>49</v>
      </c>
      <c r="M170" s="20">
        <v>30</v>
      </c>
      <c r="O170" s="20">
        <v>11.9</v>
      </c>
      <c r="P170" s="20">
        <v>8.5</v>
      </c>
      <c r="S170" s="20">
        <f>250/$S$3</f>
        <v>8.0723280594123352</v>
      </c>
      <c r="T170" s="20">
        <f>20*T$3/1000</f>
        <v>1.3077999999999999</v>
      </c>
      <c r="W170" s="20">
        <v>175</v>
      </c>
      <c r="AB170" s="20">
        <v>175</v>
      </c>
      <c r="AE170" s="20">
        <v>30</v>
      </c>
      <c r="AF170" s="20">
        <f t="shared" si="60"/>
        <v>700</v>
      </c>
      <c r="AG170" s="20">
        <f t="shared" si="61"/>
        <v>0</v>
      </c>
      <c r="AH170" s="20">
        <f t="shared" si="62"/>
        <v>120</v>
      </c>
      <c r="AI170" s="20">
        <v>820</v>
      </c>
      <c r="AJ170" s="20">
        <v>700</v>
      </c>
      <c r="AK170" s="20">
        <v>150</v>
      </c>
      <c r="AM170" s="20">
        <v>4.05</v>
      </c>
      <c r="AN170" s="20">
        <v>2.5499999999999998</v>
      </c>
      <c r="AO170" s="20">
        <v>2.7</v>
      </c>
      <c r="AP170" s="20">
        <v>2.4</v>
      </c>
      <c r="AQ170" s="20">
        <v>1.44</v>
      </c>
      <c r="AR170" s="20">
        <v>0.48</v>
      </c>
      <c r="AS170" s="20">
        <v>1.17</v>
      </c>
      <c r="AT170" s="20">
        <v>2.31</v>
      </c>
      <c r="AU170" s="20">
        <v>0.3</v>
      </c>
      <c r="AW170" s="20">
        <v>0.15</v>
      </c>
      <c r="AX170" s="20">
        <v>1.41</v>
      </c>
      <c r="AY170" s="20">
        <v>3.33</v>
      </c>
      <c r="AZ170" s="20">
        <v>2.58</v>
      </c>
      <c r="BA170" s="20">
        <v>1.92</v>
      </c>
      <c r="BB170" s="20">
        <v>1.26</v>
      </c>
      <c r="BC170" s="20">
        <v>1.65</v>
      </c>
      <c r="BD170" s="20">
        <v>0.15</v>
      </c>
      <c r="BE170" s="20">
        <v>0.15</v>
      </c>
      <c r="BG170" s="20">
        <v>1.33</v>
      </c>
      <c r="BH170" s="20">
        <v>4.68</v>
      </c>
      <c r="BI170" s="20">
        <v>31</v>
      </c>
      <c r="BL170" s="20">
        <v>1.5</v>
      </c>
      <c r="BM170" s="20">
        <v>2.54</v>
      </c>
      <c r="BN170" s="20">
        <v>2</v>
      </c>
      <c r="BO170" s="20">
        <v>5</v>
      </c>
      <c r="BP170" s="20">
        <v>20</v>
      </c>
      <c r="BQ170" s="20">
        <v>7.02</v>
      </c>
      <c r="BR170" s="20">
        <f>0.2*1000</f>
        <v>200</v>
      </c>
      <c r="BS170" s="20">
        <v>50</v>
      </c>
      <c r="BT170" s="20">
        <v>50</v>
      </c>
      <c r="BU170" s="20">
        <v>1650</v>
      </c>
      <c r="BV170" s="20">
        <v>5</v>
      </c>
      <c r="BW170" s="20">
        <v>7.5</v>
      </c>
      <c r="BX170" s="20">
        <v>1</v>
      </c>
      <c r="CH170" s="20" t="s">
        <v>284</v>
      </c>
      <c r="CI170" s="20" t="s">
        <v>243</v>
      </c>
      <c r="CJ170" s="20">
        <f>5*285</f>
        <v>1425</v>
      </c>
      <c r="CK170" s="20">
        <f t="shared" si="52"/>
        <v>1429.2750000000001</v>
      </c>
      <c r="CL170" s="20">
        <f t="shared" si="51"/>
        <v>1177.6119920199515</v>
      </c>
      <c r="CM170" s="20" t="s">
        <v>375</v>
      </c>
    </row>
    <row r="171" spans="1:91">
      <c r="A171" s="20" t="s">
        <v>555</v>
      </c>
      <c r="B171" s="20" t="s">
        <v>381</v>
      </c>
      <c r="C171" s="20" t="s">
        <v>276</v>
      </c>
      <c r="D171" s="20">
        <v>1504.5</v>
      </c>
      <c r="E171" s="20">
        <v>1504.5</v>
      </c>
      <c r="F171" s="20">
        <v>75</v>
      </c>
      <c r="G171" s="20">
        <v>45</v>
      </c>
      <c r="H171" s="20">
        <v>12.5</v>
      </c>
      <c r="I171" s="20">
        <v>15</v>
      </c>
      <c r="J171" s="20">
        <v>73.5</v>
      </c>
      <c r="M171" s="20">
        <v>45</v>
      </c>
      <c r="O171" s="20">
        <v>17.850000000000001</v>
      </c>
      <c r="P171" s="20">
        <v>12.75</v>
      </c>
      <c r="S171" s="20">
        <f>375/$S$3</f>
        <v>12.108492089118503</v>
      </c>
      <c r="T171" s="20">
        <f>30*T$3/1000</f>
        <v>1.9617</v>
      </c>
      <c r="W171" s="20">
        <v>262.5</v>
      </c>
      <c r="AB171" s="20">
        <v>262.5</v>
      </c>
      <c r="AE171" s="20">
        <v>45</v>
      </c>
      <c r="AF171" s="20">
        <f t="shared" si="60"/>
        <v>1050</v>
      </c>
      <c r="AG171" s="20">
        <f t="shared" si="61"/>
        <v>0</v>
      </c>
      <c r="AH171" s="20">
        <f t="shared" si="62"/>
        <v>180</v>
      </c>
      <c r="AI171" s="20">
        <v>1230</v>
      </c>
      <c r="AJ171" s="20">
        <v>1050</v>
      </c>
      <c r="AK171" s="20">
        <v>150</v>
      </c>
      <c r="AM171" s="20">
        <v>6.0750000000000002</v>
      </c>
      <c r="AN171" s="20">
        <v>3.8250000000000002</v>
      </c>
      <c r="AO171" s="20">
        <v>4.05</v>
      </c>
      <c r="AP171" s="20">
        <v>3.6</v>
      </c>
      <c r="AQ171" s="20">
        <v>2.16</v>
      </c>
      <c r="AR171" s="20">
        <v>0.72</v>
      </c>
      <c r="AS171" s="20">
        <v>1.7549999999999999</v>
      </c>
      <c r="AT171" s="20">
        <v>3.4649999999999999</v>
      </c>
      <c r="AU171" s="20">
        <v>0.45</v>
      </c>
      <c r="AW171" s="20">
        <v>0.22500000000000001</v>
      </c>
      <c r="AX171" s="20">
        <v>2.1150000000000002</v>
      </c>
      <c r="AY171" s="20">
        <v>4.9950000000000001</v>
      </c>
      <c r="AZ171" s="20">
        <v>3.87</v>
      </c>
      <c r="BA171" s="20">
        <v>2.88</v>
      </c>
      <c r="BB171" s="20">
        <v>1.89</v>
      </c>
      <c r="BC171" s="20">
        <v>2.4750000000000001</v>
      </c>
      <c r="BD171" s="20">
        <v>0.22500000000000001</v>
      </c>
      <c r="BE171" s="20">
        <v>0.22500000000000001</v>
      </c>
      <c r="BG171" s="20">
        <v>1.33</v>
      </c>
      <c r="BH171" s="20">
        <v>7.02</v>
      </c>
      <c r="BI171" s="20">
        <v>31</v>
      </c>
      <c r="BL171" s="20">
        <v>2.25</v>
      </c>
      <c r="BM171" s="20">
        <v>3.81</v>
      </c>
      <c r="BN171" s="20">
        <v>3</v>
      </c>
      <c r="BO171" s="20">
        <v>7.5</v>
      </c>
      <c r="BP171" s="20">
        <v>30</v>
      </c>
      <c r="BQ171" s="20">
        <v>10.53</v>
      </c>
      <c r="BR171" s="20">
        <f>0.3*1000</f>
        <v>300</v>
      </c>
      <c r="BS171" s="20">
        <v>75</v>
      </c>
      <c r="BT171" s="20">
        <v>75</v>
      </c>
      <c r="BU171" s="20">
        <v>2475</v>
      </c>
      <c r="BV171" s="20">
        <v>7.5</v>
      </c>
      <c r="BW171" s="20">
        <v>11.25</v>
      </c>
      <c r="BX171" s="20">
        <v>1.5</v>
      </c>
      <c r="CH171" s="20" t="s">
        <v>284</v>
      </c>
      <c r="CI171" s="20" t="s">
        <v>243</v>
      </c>
      <c r="CJ171" s="20">
        <f>5*285</f>
        <v>1425</v>
      </c>
      <c r="CK171" s="20">
        <f t="shared" si="52"/>
        <v>2143.9124999999999</v>
      </c>
      <c r="CL171" s="20">
        <f t="shared" si="51"/>
        <v>1766.1679880299271</v>
      </c>
      <c r="CM171" s="20" t="s">
        <v>376</v>
      </c>
    </row>
    <row r="172" spans="1:91">
      <c r="A172" s="20" t="s">
        <v>555</v>
      </c>
      <c r="B172" s="20" t="s">
        <v>382</v>
      </c>
      <c r="C172" s="20" t="s">
        <v>276</v>
      </c>
      <c r="D172" s="20">
        <v>1103</v>
      </c>
      <c r="E172" s="20">
        <v>1103</v>
      </c>
      <c r="F172" s="20">
        <v>50</v>
      </c>
      <c r="G172" s="20">
        <v>30</v>
      </c>
      <c r="H172" s="20">
        <v>8.5</v>
      </c>
      <c r="I172" s="20">
        <v>10</v>
      </c>
      <c r="J172" s="20">
        <v>49</v>
      </c>
      <c r="M172" s="20">
        <v>30</v>
      </c>
      <c r="O172" s="20">
        <v>11.9</v>
      </c>
      <c r="P172" s="20">
        <v>8.5</v>
      </c>
      <c r="S172" s="20">
        <f>250/$S$3</f>
        <v>8.0723280594123352</v>
      </c>
      <c r="T172" s="20">
        <f>20*T$3/1000</f>
        <v>1.3077999999999999</v>
      </c>
      <c r="W172" s="20">
        <v>250</v>
      </c>
      <c r="AB172" s="20">
        <v>250</v>
      </c>
      <c r="AE172" s="20">
        <v>40</v>
      </c>
      <c r="AF172" s="20">
        <f t="shared" si="60"/>
        <v>1000</v>
      </c>
      <c r="AG172" s="20">
        <f t="shared" si="61"/>
        <v>0</v>
      </c>
      <c r="AH172" s="20">
        <f t="shared" si="62"/>
        <v>160</v>
      </c>
      <c r="AI172" s="20">
        <v>1160</v>
      </c>
      <c r="AJ172" s="20">
        <v>1000</v>
      </c>
      <c r="AK172" s="20">
        <v>160</v>
      </c>
      <c r="AM172" s="20">
        <v>5.4</v>
      </c>
      <c r="AN172" s="20">
        <v>3.4</v>
      </c>
      <c r="AO172" s="20">
        <v>3.6</v>
      </c>
      <c r="AP172" s="20">
        <v>3.2</v>
      </c>
      <c r="AQ172" s="20">
        <v>1.92</v>
      </c>
      <c r="AR172" s="20">
        <v>0.64</v>
      </c>
      <c r="AS172" s="20">
        <v>1.56</v>
      </c>
      <c r="AT172" s="20">
        <v>3.08</v>
      </c>
      <c r="AU172" s="20">
        <v>0.4</v>
      </c>
      <c r="AW172" s="20">
        <v>0.2</v>
      </c>
      <c r="AX172" s="20">
        <v>1.88</v>
      </c>
      <c r="AY172" s="20">
        <v>4.4400000000000004</v>
      </c>
      <c r="AZ172" s="20">
        <v>3.44</v>
      </c>
      <c r="BA172" s="20">
        <v>2.56</v>
      </c>
      <c r="BB172" s="20">
        <v>1.68</v>
      </c>
      <c r="BC172" s="20">
        <v>2.2000000000000002</v>
      </c>
      <c r="BD172" s="20">
        <v>0.2</v>
      </c>
      <c r="BE172" s="20">
        <v>0.2</v>
      </c>
      <c r="BG172" s="20">
        <v>1.33</v>
      </c>
      <c r="BH172" s="20">
        <v>6.24</v>
      </c>
      <c r="BI172" s="20">
        <v>31</v>
      </c>
      <c r="BL172" s="20">
        <v>1.5</v>
      </c>
      <c r="BM172" s="20">
        <v>2.54</v>
      </c>
      <c r="BN172" s="20">
        <v>2</v>
      </c>
      <c r="BO172" s="20">
        <v>5</v>
      </c>
      <c r="BP172" s="20">
        <v>20</v>
      </c>
      <c r="BQ172" s="20">
        <v>7.02</v>
      </c>
      <c r="BR172" s="20">
        <f>0.2*1000</f>
        <v>200</v>
      </c>
      <c r="BS172" s="20">
        <v>50</v>
      </c>
      <c r="BT172" s="20">
        <v>50</v>
      </c>
      <c r="BU172" s="20">
        <v>1650</v>
      </c>
      <c r="BV172" s="20">
        <v>5</v>
      </c>
      <c r="BW172" s="20">
        <v>7.5</v>
      </c>
      <c r="BX172" s="20">
        <v>1</v>
      </c>
      <c r="CH172" s="20" t="s">
        <v>313</v>
      </c>
      <c r="CI172" s="20" t="s">
        <v>84</v>
      </c>
      <c r="CJ172" s="20">
        <f>6*285</f>
        <v>1710</v>
      </c>
      <c r="CK172" s="20">
        <f t="shared" si="52"/>
        <v>1886.13</v>
      </c>
      <c r="CL172" s="20">
        <f t="shared" si="51"/>
        <v>1593.9976285062462</v>
      </c>
      <c r="CM172" s="20" t="s">
        <v>377</v>
      </c>
    </row>
    <row r="173" spans="1:91">
      <c r="A173" s="20" t="s">
        <v>555</v>
      </c>
      <c r="B173" s="20" t="s">
        <v>388</v>
      </c>
      <c r="C173" s="20" t="s">
        <v>96</v>
      </c>
      <c r="D173" s="20">
        <v>1000</v>
      </c>
      <c r="E173" s="20">
        <v>1000</v>
      </c>
      <c r="F173" s="20">
        <v>50</v>
      </c>
      <c r="G173" s="20">
        <v>22</v>
      </c>
      <c r="H173" s="20">
        <v>4</v>
      </c>
      <c r="I173" s="20">
        <v>4</v>
      </c>
      <c r="J173" s="20">
        <v>50</v>
      </c>
      <c r="K173" s="20">
        <v>4</v>
      </c>
      <c r="M173" s="20">
        <v>11</v>
      </c>
      <c r="O173" s="20">
        <v>39</v>
      </c>
      <c r="Q173" s="20">
        <v>8</v>
      </c>
      <c r="S173" s="20">
        <v>5</v>
      </c>
      <c r="T173" s="20">
        <f>30*T$3/1000</f>
        <v>1.9617</v>
      </c>
      <c r="W173" s="20">
        <v>120</v>
      </c>
      <c r="AB173" s="20">
        <v>120</v>
      </c>
      <c r="AE173" s="20">
        <v>20</v>
      </c>
      <c r="AF173" s="20">
        <f t="shared" si="60"/>
        <v>480</v>
      </c>
      <c r="AG173" s="20">
        <f t="shared" si="61"/>
        <v>0</v>
      </c>
      <c r="AH173" s="20">
        <f t="shared" si="62"/>
        <v>80</v>
      </c>
      <c r="AI173" s="20">
        <v>560</v>
      </c>
      <c r="AJ173" s="20">
        <v>480</v>
      </c>
      <c r="AK173" s="20">
        <v>153</v>
      </c>
      <c r="AM173" s="20">
        <v>2.8</v>
      </c>
      <c r="AN173" s="20">
        <v>1.6</v>
      </c>
      <c r="AO173" s="20">
        <v>1.6</v>
      </c>
      <c r="AP173" s="20">
        <v>2.1</v>
      </c>
      <c r="AQ173" s="20">
        <v>1.1399999999999999</v>
      </c>
      <c r="AR173" s="20">
        <v>0.4</v>
      </c>
      <c r="AS173" s="20">
        <v>0.78</v>
      </c>
      <c r="AT173" s="20">
        <v>1.4</v>
      </c>
      <c r="AU173" s="20">
        <v>0.2</v>
      </c>
      <c r="AW173" s="20">
        <v>0.1</v>
      </c>
      <c r="AX173" s="20">
        <v>1</v>
      </c>
      <c r="AY173" s="20">
        <v>2.1</v>
      </c>
      <c r="AZ173" s="20">
        <v>1.6</v>
      </c>
      <c r="BA173" s="20">
        <v>1</v>
      </c>
      <c r="BB173" s="20">
        <v>0.6</v>
      </c>
      <c r="BC173" s="20">
        <v>1.18</v>
      </c>
      <c r="BD173" s="20">
        <v>0.2</v>
      </c>
      <c r="BE173" s="20">
        <v>0.2</v>
      </c>
      <c r="BG173" s="20">
        <v>1.44</v>
      </c>
      <c r="BH173" s="20">
        <v>3.13</v>
      </c>
      <c r="BI173" s="20">
        <v>30</v>
      </c>
      <c r="BL173" s="20">
        <v>3.84</v>
      </c>
      <c r="BM173" s="20">
        <v>2.2999999999999998</v>
      </c>
      <c r="BN173" s="20">
        <v>3.6749999999999998</v>
      </c>
      <c r="BO173" s="20">
        <v>2.5</v>
      </c>
      <c r="BP173" s="20">
        <v>20</v>
      </c>
      <c r="BQ173" s="20">
        <v>7</v>
      </c>
      <c r="BR173" s="20">
        <f>0.3*1000</f>
        <v>300</v>
      </c>
      <c r="BS173" s="20">
        <v>30</v>
      </c>
      <c r="BT173" s="20">
        <v>100</v>
      </c>
      <c r="BU173" s="20">
        <v>1650</v>
      </c>
      <c r="BV173" s="20">
        <v>2.5</v>
      </c>
      <c r="BW173" s="20">
        <v>5</v>
      </c>
      <c r="BX173" s="20">
        <v>7.4999999999999997E-2</v>
      </c>
      <c r="BZ173" s="20">
        <f>10*BZ$3/1000</f>
        <v>0.5585</v>
      </c>
      <c r="CA173" s="20">
        <f>0.5*$CA$3/1000</f>
        <v>2.7469999999999998E-2</v>
      </c>
      <c r="CB173" s="20">
        <f>2.5*CB$3/1000</f>
        <v>0.15887499999999999</v>
      </c>
      <c r="CC173" s="20">
        <f>0.5*CC$3</f>
        <v>63.45</v>
      </c>
      <c r="CH173" s="20" t="s">
        <v>315</v>
      </c>
      <c r="CI173" s="20" t="s">
        <v>82</v>
      </c>
      <c r="CJ173" s="20">
        <f>4*285</f>
        <v>1140</v>
      </c>
      <c r="CK173" s="20">
        <f t="shared" si="52"/>
        <v>1140</v>
      </c>
      <c r="CL173" s="20">
        <f t="shared" si="51"/>
        <v>863.29082572912182</v>
      </c>
      <c r="CM173" s="20" t="s">
        <v>316</v>
      </c>
    </row>
    <row r="174" spans="1:91">
      <c r="A174" s="20" t="s">
        <v>555</v>
      </c>
      <c r="B174" s="20" t="s">
        <v>317</v>
      </c>
      <c r="C174" s="20" t="s">
        <v>96</v>
      </c>
      <c r="D174" s="20">
        <v>1000</v>
      </c>
      <c r="E174" s="20">
        <v>1000</v>
      </c>
      <c r="F174" s="20">
        <v>50</v>
      </c>
      <c r="G174" s="20">
        <v>27</v>
      </c>
      <c r="H174" s="20">
        <v>5</v>
      </c>
      <c r="I174" s="20">
        <v>5</v>
      </c>
      <c r="J174" s="20">
        <v>50</v>
      </c>
      <c r="K174" s="20">
        <v>5</v>
      </c>
      <c r="M174" s="20">
        <v>14</v>
      </c>
      <c r="O174" s="20">
        <v>48</v>
      </c>
      <c r="Q174" s="20">
        <v>12</v>
      </c>
      <c r="S174" s="20">
        <v>6</v>
      </c>
      <c r="T174" s="20">
        <f>30*T$3/1000</f>
        <v>1.9617</v>
      </c>
      <c r="W174" s="20">
        <v>175</v>
      </c>
      <c r="AB174" s="20">
        <v>175</v>
      </c>
      <c r="AE174" s="20">
        <v>30</v>
      </c>
      <c r="AF174" s="20">
        <f t="shared" si="60"/>
        <v>700</v>
      </c>
      <c r="AG174" s="20">
        <f t="shared" si="61"/>
        <v>0</v>
      </c>
      <c r="AH174" s="20">
        <f t="shared" si="62"/>
        <v>120</v>
      </c>
      <c r="AI174" s="20">
        <v>820</v>
      </c>
      <c r="AJ174" s="20">
        <v>700</v>
      </c>
      <c r="AK174" s="20">
        <v>149</v>
      </c>
      <c r="AM174" s="20">
        <v>4.2</v>
      </c>
      <c r="AN174" s="20">
        <v>2.4</v>
      </c>
      <c r="AO174" s="20">
        <v>2.4</v>
      </c>
      <c r="AP174" s="20">
        <v>3.15</v>
      </c>
      <c r="AQ174" s="20">
        <v>1.71</v>
      </c>
      <c r="AR174" s="20">
        <v>0.6</v>
      </c>
      <c r="AS174" s="20">
        <v>1.17</v>
      </c>
      <c r="AT174" s="20">
        <v>2.1</v>
      </c>
      <c r="AU174" s="20">
        <v>0.3</v>
      </c>
      <c r="AW174" s="20">
        <v>0.15</v>
      </c>
      <c r="AX174" s="20">
        <v>1.5</v>
      </c>
      <c r="AY174" s="20">
        <v>3.15</v>
      </c>
      <c r="AZ174" s="20">
        <v>2.4</v>
      </c>
      <c r="BA174" s="20">
        <v>1.5</v>
      </c>
      <c r="BB174" s="20">
        <v>0.9</v>
      </c>
      <c r="BC174" s="20">
        <v>1.77</v>
      </c>
      <c r="BD174" s="20">
        <v>0.3</v>
      </c>
      <c r="BE174" s="20">
        <v>0.3</v>
      </c>
      <c r="BG174" s="20">
        <v>1.44</v>
      </c>
      <c r="BH174" s="20">
        <v>4.7</v>
      </c>
      <c r="BI174" s="20">
        <v>30</v>
      </c>
      <c r="BL174" s="20">
        <v>3.84</v>
      </c>
      <c r="BM174" s="20">
        <v>2.2999999999999998</v>
      </c>
      <c r="BN174" s="20">
        <v>3.6749999999999998</v>
      </c>
      <c r="BO174" s="20">
        <v>2.5</v>
      </c>
      <c r="BP174" s="20">
        <v>20</v>
      </c>
      <c r="BQ174" s="20">
        <v>7</v>
      </c>
      <c r="BR174" s="20">
        <f>0.3*1000</f>
        <v>300</v>
      </c>
      <c r="BS174" s="20">
        <v>30</v>
      </c>
      <c r="BT174" s="20">
        <v>100</v>
      </c>
      <c r="BU174" s="20">
        <v>1650</v>
      </c>
      <c r="BV174" s="20">
        <v>2.5</v>
      </c>
      <c r="BW174" s="20">
        <v>5</v>
      </c>
      <c r="BX174" s="20">
        <v>7.4999999999999997E-2</v>
      </c>
      <c r="BZ174" s="20">
        <f>10*BZ$3/1000</f>
        <v>0.5585</v>
      </c>
      <c r="CA174" s="20">
        <f>0.5*$CA$3/1000</f>
        <v>2.7469999999999998E-2</v>
      </c>
      <c r="CB174" s="20">
        <f>2.5*CB$3/1000</f>
        <v>0.15887499999999999</v>
      </c>
      <c r="CC174" s="20">
        <f>0.5*CC$3</f>
        <v>63.45</v>
      </c>
      <c r="CH174" s="20" t="s">
        <v>318</v>
      </c>
      <c r="CI174" s="20" t="s">
        <v>84</v>
      </c>
      <c r="CJ174" s="20">
        <f>6*285</f>
        <v>1710</v>
      </c>
      <c r="CK174" s="20">
        <f t="shared" si="52"/>
        <v>1710</v>
      </c>
      <c r="CL174" s="20">
        <f t="shared" si="51"/>
        <v>1193.6610140438481</v>
      </c>
      <c r="CM174" s="20" t="s">
        <v>319</v>
      </c>
    </row>
    <row r="175" spans="1:91">
      <c r="A175" s="20" t="s">
        <v>555</v>
      </c>
      <c r="B175" s="20" t="s">
        <v>320</v>
      </c>
      <c r="C175" s="20" t="s">
        <v>96</v>
      </c>
      <c r="D175" s="20">
        <v>900</v>
      </c>
      <c r="E175" s="20">
        <v>900</v>
      </c>
      <c r="F175" s="20">
        <v>35</v>
      </c>
      <c r="G175" s="20">
        <v>27</v>
      </c>
      <c r="H175" s="20">
        <v>8.5</v>
      </c>
      <c r="I175" s="20">
        <v>5</v>
      </c>
      <c r="J175" s="20">
        <v>44</v>
      </c>
      <c r="K175" s="20">
        <v>5</v>
      </c>
      <c r="O175" s="20">
        <v>25</v>
      </c>
      <c r="P175" s="20">
        <v>8.5</v>
      </c>
      <c r="S175" s="20">
        <f>150/$S$3</f>
        <v>4.8433968356474013</v>
      </c>
      <c r="T175" s="20">
        <f>10*T$3/1000</f>
        <v>0.65389999999999993</v>
      </c>
      <c r="W175" s="20">
        <v>110</v>
      </c>
      <c r="AB175" s="20">
        <v>110</v>
      </c>
      <c r="AC175" s="20">
        <v>15.6</v>
      </c>
      <c r="AD175" s="20">
        <v>1.7</v>
      </c>
      <c r="AE175" s="20">
        <v>30</v>
      </c>
      <c r="AF175" s="20">
        <f t="shared" si="60"/>
        <v>440</v>
      </c>
      <c r="AG175" s="20">
        <f t="shared" si="61"/>
        <v>140.4</v>
      </c>
      <c r="AH175" s="20">
        <f t="shared" si="62"/>
        <v>120</v>
      </c>
      <c r="AI175" s="20">
        <v>700</v>
      </c>
      <c r="AJ175" s="20">
        <v>580</v>
      </c>
      <c r="AK175" s="20">
        <v>126</v>
      </c>
      <c r="AM175" s="20">
        <v>4.2</v>
      </c>
      <c r="AN175" s="20">
        <v>2.4</v>
      </c>
      <c r="AO175" s="20">
        <v>2.4</v>
      </c>
      <c r="AP175" s="20">
        <v>2.4</v>
      </c>
      <c r="AQ175" s="20">
        <v>1.8</v>
      </c>
      <c r="AR175" s="20">
        <v>0.36</v>
      </c>
      <c r="AS175" s="20">
        <v>1.2</v>
      </c>
      <c r="AT175" s="20">
        <v>2.4</v>
      </c>
      <c r="AU175" s="20">
        <v>0.223</v>
      </c>
      <c r="AW175" s="20">
        <v>0.15</v>
      </c>
      <c r="AX175" s="20">
        <v>1.5</v>
      </c>
      <c r="AY175" s="20">
        <v>3.15</v>
      </c>
      <c r="AZ175" s="20">
        <v>2.5499999999999998</v>
      </c>
      <c r="BA175" s="20">
        <v>1.8</v>
      </c>
      <c r="BB175" s="20">
        <v>0.9</v>
      </c>
      <c r="BC175" s="20">
        <v>1.59</v>
      </c>
      <c r="BD175" s="20">
        <v>0.45</v>
      </c>
      <c r="BE175" s="20">
        <v>0.45</v>
      </c>
      <c r="BG175" s="20">
        <v>1.34</v>
      </c>
      <c r="BH175" s="20">
        <v>4.6100000000000003</v>
      </c>
      <c r="BI175" s="20">
        <v>30</v>
      </c>
      <c r="CH175" s="20" t="s">
        <v>84</v>
      </c>
      <c r="CI175" s="20" t="s">
        <v>82</v>
      </c>
      <c r="CJ175" s="20">
        <f>4*285</f>
        <v>1140</v>
      </c>
      <c r="CK175" s="20">
        <f t="shared" si="52"/>
        <v>1026</v>
      </c>
      <c r="CL175" s="20">
        <f t="shared" si="51"/>
        <v>773.67286160027811</v>
      </c>
      <c r="CM175" s="20" t="s">
        <v>321</v>
      </c>
    </row>
    <row r="176" spans="1:91">
      <c r="A176" s="20" t="s">
        <v>555</v>
      </c>
      <c r="B176" s="20" t="s">
        <v>322</v>
      </c>
      <c r="C176" s="20" t="s">
        <v>96</v>
      </c>
      <c r="D176" s="20">
        <v>900</v>
      </c>
      <c r="E176" s="20">
        <v>900</v>
      </c>
      <c r="F176" s="20">
        <v>35</v>
      </c>
      <c r="G176" s="20">
        <v>27</v>
      </c>
      <c r="H176" s="20">
        <v>8.5</v>
      </c>
      <c r="I176" s="20">
        <v>5</v>
      </c>
      <c r="J176" s="20">
        <v>40.5</v>
      </c>
      <c r="K176" s="20">
        <v>5</v>
      </c>
      <c r="O176" s="20">
        <v>25</v>
      </c>
      <c r="P176" s="20">
        <v>8.5</v>
      </c>
      <c r="S176" s="20">
        <f>200/$S$3</f>
        <v>6.4578624475298678</v>
      </c>
      <c r="T176" s="20">
        <f>10*T$3/1000</f>
        <v>0.65389999999999993</v>
      </c>
      <c r="W176" s="20">
        <v>150</v>
      </c>
      <c r="AB176" s="20">
        <v>150</v>
      </c>
      <c r="AC176" s="20">
        <v>19.8</v>
      </c>
      <c r="AD176" s="20">
        <v>2.2000000000000002</v>
      </c>
      <c r="AE176" s="20">
        <v>30</v>
      </c>
      <c r="AF176" s="20">
        <f t="shared" si="60"/>
        <v>600</v>
      </c>
      <c r="AG176" s="20">
        <f t="shared" si="61"/>
        <v>178.20000000000002</v>
      </c>
      <c r="AH176" s="20">
        <f t="shared" si="62"/>
        <v>120</v>
      </c>
      <c r="AI176" s="20">
        <v>900</v>
      </c>
      <c r="AJ176" s="20">
        <v>780</v>
      </c>
      <c r="AK176" s="20">
        <v>169</v>
      </c>
      <c r="AM176" s="20">
        <v>4.2</v>
      </c>
      <c r="AN176" s="20">
        <v>2.4</v>
      </c>
      <c r="AO176" s="20">
        <v>2.4</v>
      </c>
      <c r="AP176" s="20">
        <v>2.4</v>
      </c>
      <c r="AQ176" s="20">
        <v>1.8</v>
      </c>
      <c r="AR176" s="20">
        <v>0.36</v>
      </c>
      <c r="AS176" s="20">
        <v>1.2</v>
      </c>
      <c r="AT176" s="20">
        <v>2.4</v>
      </c>
      <c r="AU176" s="20">
        <v>0.223</v>
      </c>
      <c r="AW176" s="20">
        <v>0.15</v>
      </c>
      <c r="AX176" s="20">
        <v>1.5</v>
      </c>
      <c r="AY176" s="20">
        <v>3.15</v>
      </c>
      <c r="AZ176" s="20">
        <v>2.5499999999999998</v>
      </c>
      <c r="BA176" s="20">
        <v>1.8</v>
      </c>
      <c r="BB176" s="20">
        <v>0.9</v>
      </c>
      <c r="BC176" s="20">
        <v>1.59</v>
      </c>
      <c r="BD176" s="20">
        <v>0.45</v>
      </c>
      <c r="BE176" s="20">
        <v>0.45</v>
      </c>
      <c r="BG176" s="20">
        <v>1.34</v>
      </c>
      <c r="BH176" s="20">
        <v>4.6100000000000003</v>
      </c>
      <c r="BI176" s="20">
        <v>30</v>
      </c>
      <c r="CH176" s="20" t="s">
        <v>84</v>
      </c>
      <c r="CI176" s="20" t="s">
        <v>243</v>
      </c>
      <c r="CJ176" s="20">
        <f>5*285</f>
        <v>1425</v>
      </c>
      <c r="CK176" s="20">
        <f t="shared" si="52"/>
        <v>1282.5</v>
      </c>
      <c r="CL176" s="20">
        <f t="shared" si="51"/>
        <v>993.81712361083714</v>
      </c>
      <c r="CM176" s="20" t="s">
        <v>323</v>
      </c>
    </row>
    <row r="178" spans="1:90">
      <c r="B178" s="20" t="s">
        <v>538</v>
      </c>
    </row>
    <row r="179" spans="1:90">
      <c r="A179" s="20" t="s">
        <v>538</v>
      </c>
      <c r="B179" s="20" t="s">
        <v>324</v>
      </c>
      <c r="C179" s="20" t="s">
        <v>96</v>
      </c>
      <c r="D179" s="20">
        <v>250</v>
      </c>
      <c r="E179" s="20">
        <v>250</v>
      </c>
      <c r="AC179" s="20">
        <v>25</v>
      </c>
      <c r="AF179" s="20">
        <f>AB179*4</f>
        <v>0</v>
      </c>
      <c r="AG179" s="20">
        <v>275</v>
      </c>
      <c r="AH179" s="20">
        <f t="shared" ref="AH179:AH180" si="65">IF(AE179="",0,AE179*4)</f>
        <v>0</v>
      </c>
      <c r="AI179" s="20">
        <v>275</v>
      </c>
      <c r="AJ179" s="20">
        <v>275</v>
      </c>
      <c r="CH179" s="20" t="s">
        <v>325</v>
      </c>
      <c r="CI179" s="20" t="s">
        <v>78</v>
      </c>
      <c r="CJ179" s="20">
        <f>1*285</f>
        <v>285</v>
      </c>
      <c r="CK179" s="20">
        <f t="shared" si="52"/>
        <v>71.25</v>
      </c>
      <c r="CL179" s="20">
        <f t="shared" si="51"/>
        <v>0</v>
      </c>
    </row>
    <row r="180" spans="1:90">
      <c r="A180" s="20" t="s">
        <v>538</v>
      </c>
      <c r="B180" s="20" t="s">
        <v>326</v>
      </c>
      <c r="C180" s="20" t="s">
        <v>96</v>
      </c>
      <c r="D180" s="20">
        <v>50</v>
      </c>
      <c r="E180" s="20">
        <v>50</v>
      </c>
      <c r="AC180" s="20">
        <v>10</v>
      </c>
      <c r="AF180" s="20">
        <f>AB180*4</f>
        <v>0</v>
      </c>
      <c r="AG180" s="20">
        <v>100</v>
      </c>
      <c r="AH180" s="20">
        <f t="shared" si="65"/>
        <v>0</v>
      </c>
      <c r="AI180" s="20">
        <v>100</v>
      </c>
      <c r="AJ180" s="20">
        <v>100</v>
      </c>
      <c r="CH180" s="20" t="s">
        <v>325</v>
      </c>
      <c r="CI180" s="20" t="s">
        <v>78</v>
      </c>
      <c r="CJ180" s="20">
        <f>1*285</f>
        <v>285</v>
      </c>
      <c r="CK180" s="20">
        <f t="shared" si="52"/>
        <v>14.25</v>
      </c>
      <c r="CL180" s="20">
        <f t="shared" si="51"/>
        <v>0</v>
      </c>
    </row>
    <row r="182" spans="1:90">
      <c r="B182" s="20" t="s">
        <v>539</v>
      </c>
      <c r="AF182" s="20" t="str">
        <f t="shared" si="57"/>
        <v/>
      </c>
      <c r="AG182" s="20" t="str">
        <f t="shared" si="58"/>
        <v/>
      </c>
      <c r="AH182" s="20" t="str">
        <f t="shared" si="59"/>
        <v/>
      </c>
    </row>
    <row r="183" spans="1:90">
      <c r="A183" s="20" t="s">
        <v>539</v>
      </c>
      <c r="B183" s="20" t="s">
        <v>1031</v>
      </c>
      <c r="C183" s="20" t="s">
        <v>96</v>
      </c>
      <c r="D183" s="20">
        <v>1000</v>
      </c>
      <c r="E183" s="20">
        <v>1000</v>
      </c>
      <c r="F183" s="20">
        <v>130</v>
      </c>
      <c r="G183" s="20">
        <v>4</v>
      </c>
      <c r="H183" s="20">
        <v>3</v>
      </c>
      <c r="J183" s="20">
        <v>109</v>
      </c>
      <c r="M183" s="20">
        <v>28</v>
      </c>
      <c r="AF183" s="20">
        <f t="shared" ref="AF183" si="66">AB183*4</f>
        <v>0</v>
      </c>
      <c r="AG183" s="20">
        <f t="shared" ref="AG183" si="67">AC183*9</f>
        <v>0</v>
      </c>
      <c r="AH183" s="20">
        <f t="shared" ref="AH183" si="68">AE183*4</f>
        <v>0</v>
      </c>
      <c r="AI183" s="20">
        <f t="shared" ref="AI183" si="69">SUM(AF183:AH183)</f>
        <v>0</v>
      </c>
      <c r="AJ183" s="20">
        <f t="shared" ref="AJ183" si="70">SUM(AF183,AG183)</f>
        <v>0</v>
      </c>
      <c r="CF183" s="20">
        <v>30</v>
      </c>
      <c r="CH183" s="20" t="s">
        <v>328</v>
      </c>
      <c r="CI183" s="20" t="s">
        <v>78</v>
      </c>
      <c r="CJ183" s="20">
        <f t="shared" ref="CJ183:CJ188" si="71">1*285</f>
        <v>285</v>
      </c>
      <c r="CK183" s="20">
        <f t="shared" si="52"/>
        <v>285</v>
      </c>
      <c r="CL183" s="20">
        <f>SUM(F183:S183)+T183/T$3+SUMPRODUCT(W183:AA183,1/W$3:AA$3)*1000+SUMPRODUCT(AM183:BF183,1/AM$3:BF$3)+SUMPRODUCT(BZ183:CB183,1/BZ$3:CB$3)+SUMPRODUCT(CF183:CG183,1/CF$3:CG$3)*1000</f>
        <v>274.75</v>
      </c>
    </row>
    <row r="184" spans="1:90">
      <c r="A184" s="20" t="s">
        <v>539</v>
      </c>
      <c r="B184" s="20" t="s">
        <v>1030</v>
      </c>
      <c r="C184" s="20" t="s">
        <v>96</v>
      </c>
      <c r="D184" s="20">
        <v>1000</v>
      </c>
      <c r="E184" s="20">
        <v>1000</v>
      </c>
      <c r="W184" s="20">
        <v>25</v>
      </c>
      <c r="AB184" s="20">
        <v>25</v>
      </c>
      <c r="AF184" s="20">
        <f t="shared" ref="AF184:AF188" si="72">AB184*4</f>
        <v>100</v>
      </c>
      <c r="AG184" s="20">
        <f t="shared" ref="AG184:AG188" si="73">AC184*9</f>
        <v>0</v>
      </c>
      <c r="AH184" s="20">
        <f t="shared" ref="AH184:AH188" si="74">AE184*4</f>
        <v>0</v>
      </c>
      <c r="AI184" s="20">
        <f t="shared" ref="AI184:AI188" si="75">SUM(AF184:AH184)</f>
        <v>100</v>
      </c>
      <c r="AJ184" s="20">
        <f t="shared" ref="AJ184:AJ188" si="76">SUM(AF184,AG184)</f>
        <v>100</v>
      </c>
      <c r="CF184" s="20">
        <v>100</v>
      </c>
      <c r="CH184" s="20" t="s">
        <v>77</v>
      </c>
      <c r="CI184" s="20" t="s">
        <v>78</v>
      </c>
      <c r="CJ184" s="20">
        <f t="shared" si="71"/>
        <v>285</v>
      </c>
      <c r="CK184" s="20">
        <f t="shared" si="52"/>
        <v>285</v>
      </c>
      <c r="CL184" s="20">
        <f t="shared" ref="CL184:CL215" si="77">SUM(F184:S184)+T184/T$3+SUMPRODUCT(W184:AA184,1/W$3:AA$3)*1000+SUMPRODUCT(AM184:BF184,1/AM$3:BF$3)+SUMPRODUCT(BZ184:CB184,1/BZ$3:CB$3)+SUMPRODUCT(CF184:CG184,1/CF$3:CG$3)*1000</f>
        <v>141.26862274917295</v>
      </c>
    </row>
    <row r="185" spans="1:90">
      <c r="A185" s="20" t="s">
        <v>539</v>
      </c>
      <c r="B185" s="20" t="s">
        <v>330</v>
      </c>
      <c r="C185" s="20" t="s">
        <v>96</v>
      </c>
      <c r="D185" s="20">
        <v>1000</v>
      </c>
      <c r="E185" s="20">
        <v>1000</v>
      </c>
      <c r="F185" s="20">
        <v>130</v>
      </c>
      <c r="G185" s="20">
        <v>4</v>
      </c>
      <c r="H185" s="20">
        <v>3</v>
      </c>
      <c r="J185" s="20">
        <v>109</v>
      </c>
      <c r="M185" s="20">
        <v>28</v>
      </c>
      <c r="AF185" s="20">
        <f t="shared" si="72"/>
        <v>0</v>
      </c>
      <c r="AG185" s="20">
        <f t="shared" si="73"/>
        <v>0</v>
      </c>
      <c r="AH185" s="20">
        <f t="shared" si="74"/>
        <v>0</v>
      </c>
      <c r="AI185" s="20">
        <f t="shared" si="75"/>
        <v>0</v>
      </c>
      <c r="AJ185" s="20">
        <f t="shared" si="76"/>
        <v>0</v>
      </c>
      <c r="CF185" s="20">
        <v>100</v>
      </c>
      <c r="CH185" s="20" t="s">
        <v>97</v>
      </c>
      <c r="CI185" s="20" t="s">
        <v>78</v>
      </c>
      <c r="CJ185" s="20">
        <f t="shared" si="71"/>
        <v>285</v>
      </c>
      <c r="CK185" s="20">
        <f t="shared" si="52"/>
        <v>285</v>
      </c>
      <c r="CL185" s="20">
        <f t="shared" si="77"/>
        <v>276.5</v>
      </c>
    </row>
    <row r="186" spans="1:90">
      <c r="A186" s="20" t="s">
        <v>539</v>
      </c>
      <c r="B186" s="20" t="s">
        <v>331</v>
      </c>
      <c r="C186" s="20" t="s">
        <v>332</v>
      </c>
      <c r="D186" s="20">
        <v>1000</v>
      </c>
      <c r="E186" s="20">
        <v>1000</v>
      </c>
      <c r="F186" s="20">
        <v>154</v>
      </c>
      <c r="J186" s="20">
        <v>154</v>
      </c>
      <c r="AF186" s="20">
        <f t="shared" si="72"/>
        <v>0</v>
      </c>
      <c r="AG186" s="20">
        <f t="shared" si="73"/>
        <v>0</v>
      </c>
      <c r="AH186" s="20">
        <f t="shared" si="74"/>
        <v>0</v>
      </c>
      <c r="AI186" s="20">
        <f t="shared" si="75"/>
        <v>0</v>
      </c>
      <c r="AJ186" s="20">
        <f t="shared" si="76"/>
        <v>0</v>
      </c>
      <c r="CG186" s="20">
        <v>60</v>
      </c>
      <c r="CH186" s="20" t="s">
        <v>214</v>
      </c>
      <c r="CI186" s="20" t="s">
        <v>78</v>
      </c>
      <c r="CJ186" s="20">
        <f t="shared" si="71"/>
        <v>285</v>
      </c>
      <c r="CK186" s="20">
        <f t="shared" si="52"/>
        <v>285</v>
      </c>
      <c r="CL186" s="20">
        <f t="shared" si="77"/>
        <v>308.85714285714283</v>
      </c>
    </row>
    <row r="187" spans="1:90">
      <c r="A187" s="20" t="s">
        <v>539</v>
      </c>
      <c r="B187" s="20" t="s">
        <v>1032</v>
      </c>
      <c r="C187" s="20" t="s">
        <v>332</v>
      </c>
      <c r="D187" s="20">
        <v>1000</v>
      </c>
      <c r="E187" s="20">
        <v>1000</v>
      </c>
      <c r="F187" s="20">
        <v>105.6</v>
      </c>
      <c r="G187" s="20">
        <v>4</v>
      </c>
      <c r="H187" s="20">
        <v>2.7</v>
      </c>
      <c r="J187" s="20">
        <v>92.3</v>
      </c>
      <c r="M187" s="20">
        <v>20</v>
      </c>
      <c r="W187" s="20">
        <v>5</v>
      </c>
      <c r="AB187" s="20">
        <v>5</v>
      </c>
      <c r="AF187" s="20">
        <f t="shared" si="72"/>
        <v>20</v>
      </c>
      <c r="AG187" s="20">
        <f t="shared" si="73"/>
        <v>0</v>
      </c>
      <c r="AH187" s="20">
        <f t="shared" si="74"/>
        <v>0</v>
      </c>
      <c r="AI187" s="20">
        <f t="shared" si="75"/>
        <v>20</v>
      </c>
      <c r="AJ187" s="20">
        <f t="shared" si="76"/>
        <v>20</v>
      </c>
      <c r="CG187" s="20">
        <v>60</v>
      </c>
      <c r="CH187" s="20" t="s">
        <v>214</v>
      </c>
      <c r="CI187" s="20" t="s">
        <v>78</v>
      </c>
      <c r="CJ187" s="20">
        <f t="shared" si="71"/>
        <v>285</v>
      </c>
      <c r="CK187" s="20">
        <f t="shared" si="52"/>
        <v>285</v>
      </c>
      <c r="CL187" s="20">
        <f t="shared" si="77"/>
        <v>253.21086740697743</v>
      </c>
    </row>
    <row r="188" spans="1:90">
      <c r="A188" s="20" t="s">
        <v>539</v>
      </c>
      <c r="B188" s="20" t="s">
        <v>334</v>
      </c>
      <c r="C188" s="20" t="s">
        <v>332</v>
      </c>
      <c r="D188" s="20">
        <v>1000</v>
      </c>
      <c r="E188" s="20">
        <v>1000</v>
      </c>
      <c r="F188" s="20">
        <v>154</v>
      </c>
      <c r="J188" s="20">
        <v>154</v>
      </c>
      <c r="AF188" s="20">
        <f t="shared" si="72"/>
        <v>0</v>
      </c>
      <c r="AG188" s="20">
        <f t="shared" si="73"/>
        <v>0</v>
      </c>
      <c r="AH188" s="20">
        <f t="shared" si="74"/>
        <v>0</v>
      </c>
      <c r="AI188" s="20">
        <f t="shared" si="75"/>
        <v>0</v>
      </c>
      <c r="AJ188" s="20">
        <f t="shared" si="76"/>
        <v>0</v>
      </c>
      <c r="CG188" s="20">
        <v>60</v>
      </c>
      <c r="CH188" s="20" t="s">
        <v>335</v>
      </c>
      <c r="CI188" s="20" t="s">
        <v>78</v>
      </c>
      <c r="CJ188" s="20">
        <f t="shared" si="71"/>
        <v>285</v>
      </c>
      <c r="CK188" s="20">
        <f t="shared" si="52"/>
        <v>285</v>
      </c>
      <c r="CL188" s="20">
        <f t="shared" si="77"/>
        <v>308.85714285714283</v>
      </c>
    </row>
    <row r="190" spans="1:90">
      <c r="B190" s="20" t="s">
        <v>383</v>
      </c>
      <c r="AF190" s="20" t="str">
        <f t="shared" si="57"/>
        <v/>
      </c>
      <c r="AG190" s="20" t="str">
        <f t="shared" si="58"/>
        <v/>
      </c>
      <c r="AH190" s="20" t="str">
        <f t="shared" si="59"/>
        <v/>
      </c>
    </row>
    <row r="191" spans="1:90">
      <c r="A191" s="20" t="s">
        <v>543</v>
      </c>
      <c r="B191" s="20" t="s">
        <v>384</v>
      </c>
      <c r="D191" s="20">
        <v>1</v>
      </c>
      <c r="E191" s="20">
        <v>0</v>
      </c>
      <c r="F191" s="20">
        <f>1000/($F$3+$J$3)</f>
        <v>17.111567419575636</v>
      </c>
      <c r="J191" s="20">
        <f>1000/($F$3+$J$3)</f>
        <v>17.111567419575636</v>
      </c>
      <c r="AF191" s="20">
        <f t="shared" ref="AF191:AF194" si="78">AB191*4</f>
        <v>0</v>
      </c>
      <c r="AG191" s="20">
        <f t="shared" ref="AG191:AG195" si="79">AC191*9</f>
        <v>0</v>
      </c>
      <c r="AH191" s="20">
        <f t="shared" ref="AH191:AH194" si="80">AE191*4</f>
        <v>0</v>
      </c>
      <c r="AI191" s="20">
        <f t="shared" ref="AI191:AI194" si="81">SUM(AF191:AH191)</f>
        <v>0</v>
      </c>
      <c r="AJ191" s="20">
        <f t="shared" ref="AJ191:AJ194" si="82">SUM(AF191,AG191)</f>
        <v>0</v>
      </c>
      <c r="CK191" s="20">
        <f>CL191</f>
        <v>34.223134839151271</v>
      </c>
      <c r="CL191" s="20">
        <f t="shared" si="77"/>
        <v>34.223134839151271</v>
      </c>
    </row>
    <row r="192" spans="1:90">
      <c r="A192" s="20" t="s">
        <v>543</v>
      </c>
      <c r="B192" s="20" t="s">
        <v>385</v>
      </c>
      <c r="D192" s="20">
        <v>1</v>
      </c>
      <c r="E192" s="20">
        <v>0</v>
      </c>
      <c r="F192" s="20">
        <f>1000/84</f>
        <v>11.904761904761905</v>
      </c>
      <c r="L192" s="20">
        <f>1000/84</f>
        <v>11.904761904761905</v>
      </c>
      <c r="AF192" s="20">
        <f t="shared" si="78"/>
        <v>0</v>
      </c>
      <c r="AG192" s="20">
        <f t="shared" si="79"/>
        <v>0</v>
      </c>
      <c r="AH192" s="20">
        <f t="shared" si="80"/>
        <v>0</v>
      </c>
      <c r="AI192" s="20">
        <f t="shared" si="81"/>
        <v>0</v>
      </c>
      <c r="AJ192" s="20">
        <f t="shared" si="82"/>
        <v>0</v>
      </c>
      <c r="CK192" s="20">
        <f>CL192</f>
        <v>23.80952380952381</v>
      </c>
      <c r="CL192" s="20">
        <f t="shared" si="77"/>
        <v>23.80952380952381</v>
      </c>
    </row>
    <row r="193" spans="1:91">
      <c r="A193" s="20" t="s">
        <v>543</v>
      </c>
      <c r="B193" s="20" t="s">
        <v>387</v>
      </c>
      <c r="D193" s="20">
        <v>1</v>
      </c>
      <c r="E193" s="20">
        <v>1</v>
      </c>
      <c r="AF193" s="20">
        <f t="shared" si="78"/>
        <v>0</v>
      </c>
      <c r="AG193" s="20">
        <f t="shared" si="79"/>
        <v>0</v>
      </c>
      <c r="AH193" s="20">
        <f t="shared" si="80"/>
        <v>0</v>
      </c>
      <c r="AI193" s="20">
        <f t="shared" si="81"/>
        <v>0</v>
      </c>
      <c r="AJ193" s="20">
        <f t="shared" si="82"/>
        <v>0</v>
      </c>
      <c r="CL193" s="20">
        <f t="shared" si="77"/>
        <v>0</v>
      </c>
    </row>
    <row r="194" spans="1:91">
      <c r="A194" s="20" t="s">
        <v>543</v>
      </c>
      <c r="B194" s="20" t="s">
        <v>386</v>
      </c>
      <c r="D194" s="20">
        <v>1</v>
      </c>
      <c r="E194" s="20">
        <v>1</v>
      </c>
      <c r="AC194" s="20">
        <v>1</v>
      </c>
      <c r="AF194" s="20">
        <f t="shared" si="78"/>
        <v>0</v>
      </c>
      <c r="AG194" s="20">
        <v>8</v>
      </c>
      <c r="AH194" s="20">
        <f t="shared" si="80"/>
        <v>0</v>
      </c>
      <c r="AI194" s="20">
        <f t="shared" si="81"/>
        <v>8</v>
      </c>
      <c r="AJ194" s="20">
        <f t="shared" si="82"/>
        <v>8</v>
      </c>
      <c r="CL194" s="20">
        <f t="shared" si="77"/>
        <v>0</v>
      </c>
    </row>
    <row r="195" spans="1:91">
      <c r="A195" s="20" t="s">
        <v>543</v>
      </c>
      <c r="B195" s="20" t="s">
        <v>1063</v>
      </c>
      <c r="D195" s="20">
        <v>80</v>
      </c>
      <c r="E195" s="20">
        <v>40</v>
      </c>
      <c r="F195" s="20">
        <v>11.3</v>
      </c>
      <c r="G195" s="20">
        <v>5.6</v>
      </c>
      <c r="H195" s="20">
        <v>7.9</v>
      </c>
      <c r="I195" s="20">
        <v>3.3</v>
      </c>
      <c r="J195" s="20">
        <v>14.6</v>
      </c>
      <c r="S195" s="20">
        <v>3.9</v>
      </c>
      <c r="T195" s="20">
        <v>1.8</v>
      </c>
      <c r="AB195" s="20">
        <v>63.41</v>
      </c>
      <c r="AC195" s="20">
        <v>0.51</v>
      </c>
      <c r="AE195" s="20">
        <v>13.14</v>
      </c>
      <c r="AF195" s="20">
        <f>AB195*4</f>
        <v>253.64</v>
      </c>
      <c r="AG195" s="20">
        <f t="shared" si="79"/>
        <v>4.59</v>
      </c>
      <c r="AH195" s="20">
        <f t="shared" ref="AH195:AH196" si="83">AE195*4</f>
        <v>52.56</v>
      </c>
      <c r="AI195" s="20">
        <v>300</v>
      </c>
      <c r="AJ195" s="20">
        <f t="shared" ref="AJ195:AJ196" si="84">SUM(AF195,AG195)</f>
        <v>258.22999999999996</v>
      </c>
      <c r="AM195" s="20">
        <v>0.64200000000000002</v>
      </c>
      <c r="AN195" s="20">
        <v>0.89900000000000002</v>
      </c>
      <c r="AO195" s="20">
        <v>0.70099999999999996</v>
      </c>
      <c r="AP195" s="20">
        <f>0.888*146.19/182.65</f>
        <v>0.7107403230221736</v>
      </c>
      <c r="AQ195" s="20">
        <v>0.52300000000000002</v>
      </c>
      <c r="AR195" s="20">
        <v>0.151</v>
      </c>
      <c r="AS195" s="20">
        <v>0.64800000000000002</v>
      </c>
      <c r="AT195" s="20">
        <v>0.871</v>
      </c>
      <c r="AW195" s="20">
        <v>0.11</v>
      </c>
      <c r="AX195" s="20">
        <f>0.501*155.15/209.63</f>
        <v>0.37079688021752616</v>
      </c>
      <c r="AY195" s="20">
        <f>1.125*174.2/210.66</f>
        <v>0.93029051552264308</v>
      </c>
      <c r="AZ195" s="20">
        <v>0.89900000000000002</v>
      </c>
      <c r="BA195" s="20">
        <v>0.63</v>
      </c>
      <c r="BB195" s="20">
        <v>1.159</v>
      </c>
      <c r="BC195" s="20">
        <v>0.505</v>
      </c>
      <c r="BD195" s="20">
        <f>1.036/2*133.1/288.5+1.036/2*133.1/171.19+0.867*133.1/173.1</f>
        <v>1.3083779413612309</v>
      </c>
      <c r="BE195" s="20">
        <v>1.9319999999999999</v>
      </c>
      <c r="BG195" s="20">
        <f>SUM(AM195:AT195,AX195)/(SUM(AM195:BE195)-SUM(AM195:AT195,AX195))</f>
        <v>0.73812977322515638</v>
      </c>
      <c r="BH195" s="20">
        <f t="array" ref="BH195">SUM(AM195:BE195)*(AM$4:BE$4)/(AM$3:BE$3)*14</f>
        <v>1.3864670217407187</v>
      </c>
      <c r="BI195" s="20">
        <f>SUM(AM195:AO195)/AE195*100</f>
        <v>17.06240487062405</v>
      </c>
      <c r="BL195" s="20">
        <v>0.152</v>
      </c>
      <c r="BM195" s="20">
        <v>0.24399999999999999</v>
      </c>
      <c r="BN195" s="20">
        <v>0.22</v>
      </c>
      <c r="BO195" s="20">
        <v>0.72</v>
      </c>
      <c r="BP195" s="20">
        <v>2.2000000000000002</v>
      </c>
      <c r="BQ195" s="20">
        <v>1.1000000000000001</v>
      </c>
      <c r="BR195" s="20">
        <v>44</v>
      </c>
      <c r="BS195" s="20">
        <v>39</v>
      </c>
      <c r="BT195" s="20">
        <v>7.8</v>
      </c>
      <c r="BU195" s="20">
        <v>648</v>
      </c>
      <c r="BV195" s="20">
        <v>1.3</v>
      </c>
      <c r="BW195" s="20">
        <v>3.3</v>
      </c>
      <c r="BX195" s="20">
        <v>8.9999999999999993E-3</v>
      </c>
      <c r="BZ195" s="20">
        <v>1.8</v>
      </c>
      <c r="CA195" s="20">
        <v>0.3</v>
      </c>
      <c r="CB195" s="20">
        <v>0.2</v>
      </c>
      <c r="CC195" s="20">
        <v>15.2</v>
      </c>
      <c r="CK195" s="20">
        <f>761*300/1000</f>
        <v>228.3</v>
      </c>
      <c r="CL195" s="20">
        <f t="shared" si="77"/>
        <v>46.770320448902424</v>
      </c>
      <c r="CM195" s="20" t="s">
        <v>998</v>
      </c>
    </row>
    <row r="196" spans="1:91">
      <c r="A196" s="20" t="s">
        <v>543</v>
      </c>
      <c r="B196" s="20" t="s">
        <v>1036</v>
      </c>
      <c r="D196" s="20">
        <v>80</v>
      </c>
      <c r="E196" s="20">
        <v>40</v>
      </c>
      <c r="F196" s="20">
        <v>12.6</v>
      </c>
      <c r="G196" s="20">
        <v>12.6</v>
      </c>
      <c r="H196" s="20">
        <v>17</v>
      </c>
      <c r="I196" s="20">
        <v>3.6</v>
      </c>
      <c r="J196" s="20">
        <v>14.5</v>
      </c>
      <c r="S196" s="20">
        <v>8.5</v>
      </c>
      <c r="T196" s="20">
        <v>3</v>
      </c>
      <c r="AB196" s="20">
        <v>62</v>
      </c>
      <c r="AC196" s="20">
        <v>2.8</v>
      </c>
      <c r="AE196" s="20">
        <v>9.8000000000000007</v>
      </c>
      <c r="AF196" s="20">
        <f t="shared" ref="AF196" si="85">AB196*4</f>
        <v>248</v>
      </c>
      <c r="AG196" s="20">
        <f t="shared" ref="AG196" si="86">AC196*9</f>
        <v>25.2</v>
      </c>
      <c r="AH196" s="20">
        <f t="shared" si="83"/>
        <v>39.200000000000003</v>
      </c>
      <c r="AI196" s="20">
        <f t="shared" ref="AI196" si="87">SUM(AF196:AH196)</f>
        <v>312.39999999999998</v>
      </c>
      <c r="AJ196" s="20">
        <f t="shared" si="84"/>
        <v>273.2</v>
      </c>
      <c r="AM196" s="20">
        <v>0.98</v>
      </c>
      <c r="AN196" s="20">
        <v>0.51900000000000002</v>
      </c>
      <c r="AO196" s="20">
        <v>0.53700000000000003</v>
      </c>
      <c r="AP196" s="20">
        <f>1.072*146.19/182.65</f>
        <v>0.85801084040514652</v>
      </c>
      <c r="AQ196" s="20">
        <v>0.496</v>
      </c>
      <c r="AR196" s="20">
        <v>0.186</v>
      </c>
      <c r="AS196" s="20">
        <v>0.159</v>
      </c>
      <c r="AT196" s="20">
        <v>0.31</v>
      </c>
      <c r="AU196" s="20">
        <f>0.313*AU$3/175.63</f>
        <v>0.21592598075499631</v>
      </c>
      <c r="AW196" s="20">
        <f>0.593*181.19/245.7</f>
        <v>0.4373043142043142</v>
      </c>
      <c r="AX196" s="20">
        <v>0.28100000000000003</v>
      </c>
      <c r="AY196" s="20">
        <v>0.69299999999999995</v>
      </c>
      <c r="AZ196" s="20">
        <v>0.96</v>
      </c>
      <c r="BA196" s="20">
        <v>0.97599999999999998</v>
      </c>
      <c r="BB196" s="20">
        <v>0.88300000000000001</v>
      </c>
      <c r="BC196" s="20">
        <v>0.22700000000000001</v>
      </c>
      <c r="BD196" s="20">
        <f>0.547/2*133.1/288.5+0.547/2*133.1/171.19</f>
        <v>0.33882561323462851</v>
      </c>
      <c r="BE196" s="20">
        <v>0.747</v>
      </c>
      <c r="BG196" s="20">
        <f>SUM(AM196:AT196,AX196)/(SUM(AM196:BE196)-SUM(AM196:AT196,AX196))</f>
        <v>0.78969819091010118</v>
      </c>
      <c r="BH196" s="20">
        <f t="array" ref="BH196">SUM(AM196:BE196)*(AM$4:BE$4)/(AM$3:BE$3)*14</f>
        <v>1.046404928568935</v>
      </c>
      <c r="BI196" s="20">
        <f>SUM(AM196:AO196)/AE196*100</f>
        <v>20.77551020408163</v>
      </c>
      <c r="BL196" s="20">
        <v>0.254</v>
      </c>
      <c r="BM196" s="20">
        <v>0.40699999999999997</v>
      </c>
      <c r="BN196" s="20">
        <v>0.36599999999999999</v>
      </c>
      <c r="BO196" s="20">
        <v>1.2</v>
      </c>
      <c r="BP196" s="20">
        <v>3.66</v>
      </c>
      <c r="BQ196" s="20">
        <v>1.82</v>
      </c>
      <c r="BR196" s="20">
        <v>74</v>
      </c>
      <c r="BS196" s="20">
        <v>66</v>
      </c>
      <c r="BT196" s="20">
        <v>28.6</v>
      </c>
      <c r="BU196" s="20">
        <v>1080</v>
      </c>
      <c r="BV196" s="20">
        <v>8.8000000000000007</v>
      </c>
      <c r="BW196" s="20">
        <v>5.5</v>
      </c>
      <c r="BX196" s="20">
        <v>1.4E-2</v>
      </c>
      <c r="BZ196" s="20">
        <v>5.0999999999999996</v>
      </c>
      <c r="CA196" s="20">
        <v>0.5</v>
      </c>
      <c r="CB196" s="20">
        <v>0.35</v>
      </c>
      <c r="CC196" s="20">
        <v>25</v>
      </c>
      <c r="CK196" s="20">
        <f>630*310/1000</f>
        <v>195.3</v>
      </c>
      <c r="CL196" s="20">
        <f t="shared" si="77"/>
        <v>69.029987644344573</v>
      </c>
      <c r="CM196" s="20" t="s">
        <v>999</v>
      </c>
    </row>
    <row r="197" spans="1:91">
      <c r="A197" s="20" t="s">
        <v>543</v>
      </c>
      <c r="B197" s="20" t="s">
        <v>390</v>
      </c>
      <c r="D197" s="20">
        <v>300</v>
      </c>
      <c r="E197" s="20">
        <v>300</v>
      </c>
      <c r="F197" s="20">
        <v>9.6</v>
      </c>
      <c r="G197" s="20">
        <v>10.5</v>
      </c>
      <c r="H197" s="20">
        <v>6.6</v>
      </c>
      <c r="I197" s="20">
        <v>4.8</v>
      </c>
      <c r="J197" s="20">
        <v>9.9</v>
      </c>
      <c r="S197" s="20">
        <f>13/S$3</f>
        <v>0.41976105908944139</v>
      </c>
      <c r="T197" s="20">
        <v>1.92</v>
      </c>
      <c r="AB197" s="20">
        <v>46.86</v>
      </c>
      <c r="AC197" s="20">
        <v>6.69</v>
      </c>
      <c r="AE197" s="20">
        <v>13.14</v>
      </c>
      <c r="AF197" s="20">
        <f t="shared" ref="AF197:AF204" si="88">AB197*4</f>
        <v>187.44</v>
      </c>
      <c r="AG197" s="20">
        <f t="shared" ref="AG197:AG200" si="89">AC197*9</f>
        <v>60.21</v>
      </c>
      <c r="AH197" s="20">
        <f t="shared" ref="AH197:AH200" si="90">AE197*4</f>
        <v>52.56</v>
      </c>
      <c r="AI197" s="20">
        <f t="shared" ref="AI197" si="91">SUM(AF197:AH197)</f>
        <v>300.21000000000004</v>
      </c>
      <c r="AJ197" s="20">
        <f t="shared" ref="AJ197:AJ201" si="92">SUM(AF197,AG197)</f>
        <v>247.65</v>
      </c>
      <c r="AM197" s="20" t="s">
        <v>633</v>
      </c>
      <c r="AN197" s="20" t="s">
        <v>633</v>
      </c>
      <c r="AO197" s="20" t="s">
        <v>633</v>
      </c>
      <c r="AP197" s="20" t="s">
        <v>633</v>
      </c>
      <c r="AQ197" s="20" t="s">
        <v>633</v>
      </c>
      <c r="AR197" s="20" t="s">
        <v>633</v>
      </c>
      <c r="AS197" s="20" t="s">
        <v>633</v>
      </c>
      <c r="AT197" s="20" t="s">
        <v>633</v>
      </c>
      <c r="AU197" s="20" t="s">
        <v>633</v>
      </c>
      <c r="AV197" s="20" t="s">
        <v>633</v>
      </c>
      <c r="AW197" s="20" t="s">
        <v>633</v>
      </c>
      <c r="AX197" s="20" t="s">
        <v>633</v>
      </c>
      <c r="AY197" s="20" t="s">
        <v>633</v>
      </c>
      <c r="AZ197" s="20" t="s">
        <v>633</v>
      </c>
      <c r="BA197" s="20" t="s">
        <v>633</v>
      </c>
      <c r="BB197" s="20" t="s">
        <v>633</v>
      </c>
      <c r="BC197" s="20" t="s">
        <v>633</v>
      </c>
      <c r="BD197" s="20" t="s">
        <v>633</v>
      </c>
      <c r="BE197" s="20" t="s">
        <v>633</v>
      </c>
      <c r="BF197" s="20" t="s">
        <v>633</v>
      </c>
      <c r="BG197" s="20" t="s">
        <v>633</v>
      </c>
      <c r="BH197" s="20">
        <v>2.0699999999999998</v>
      </c>
      <c r="BI197" s="20" t="s">
        <v>633</v>
      </c>
      <c r="BL197" s="20">
        <v>1.1399999999999999</v>
      </c>
      <c r="BM197" s="20">
        <v>0.73499999999999999</v>
      </c>
      <c r="BN197" s="20">
        <v>1.125</v>
      </c>
      <c r="BO197" s="20">
        <v>0.96</v>
      </c>
      <c r="BP197" s="20">
        <v>7.5</v>
      </c>
      <c r="BQ197" s="20">
        <v>2.8740000000000001</v>
      </c>
      <c r="BR197" s="20">
        <v>112.5</v>
      </c>
      <c r="BS197" s="20">
        <v>11.58</v>
      </c>
      <c r="BT197" s="20">
        <v>84.3</v>
      </c>
      <c r="BU197" s="20">
        <v>621</v>
      </c>
      <c r="BV197" s="20">
        <f>40.8/40</f>
        <v>1.02</v>
      </c>
      <c r="BW197" s="20">
        <v>1.95</v>
      </c>
      <c r="BX197" s="20">
        <v>1.8749999999999999E-2</v>
      </c>
      <c r="BZ197" s="20">
        <v>1.875</v>
      </c>
      <c r="CA197" s="20">
        <v>0.39900000000000002</v>
      </c>
      <c r="CB197" s="20">
        <v>0.375</v>
      </c>
      <c r="CD197" s="20">
        <v>8.1</v>
      </c>
      <c r="CJ197" s="20">
        <v>345</v>
      </c>
      <c r="CK197" s="20">
        <f>CJ197*D197/1000</f>
        <v>103.5</v>
      </c>
      <c r="CL197" s="20">
        <f t="shared" si="77"/>
        <v>41.895858748547766</v>
      </c>
      <c r="CM197" s="20" t="s">
        <v>1025</v>
      </c>
    </row>
    <row r="198" spans="1:91">
      <c r="A198" s="20" t="s">
        <v>543</v>
      </c>
      <c r="B198" s="20" t="s">
        <v>819</v>
      </c>
      <c r="D198" s="20">
        <v>250</v>
      </c>
      <c r="E198" s="20">
        <v>250</v>
      </c>
      <c r="F198" s="20">
        <f>0.23*1000/F$3</f>
        <v>10.004349717268378</v>
      </c>
      <c r="G198" s="20">
        <f>0.3*1000/G$3</f>
        <v>7.6726342710997439</v>
      </c>
      <c r="H198" s="20">
        <f>0.29*1000/H$3*H$4</f>
        <v>14.471057884231538</v>
      </c>
      <c r="I198" s="20">
        <f>52/I$3*I$4</f>
        <v>4.2780748663101607</v>
      </c>
      <c r="J198" s="20">
        <f>0.25*1000/J$3</f>
        <v>7.0521861777150914</v>
      </c>
      <c r="S198" s="20">
        <f>0.25*1000/S$3</f>
        <v>8.0723280594123352</v>
      </c>
      <c r="T198" s="20">
        <v>4.5</v>
      </c>
      <c r="AB198" s="20">
        <v>39.6</v>
      </c>
      <c r="AC198" s="20">
        <v>9.6</v>
      </c>
      <c r="AE198" s="20">
        <v>13.5</v>
      </c>
      <c r="AF198" s="20">
        <f t="shared" si="88"/>
        <v>158.4</v>
      </c>
      <c r="AG198" s="20">
        <f t="shared" si="89"/>
        <v>86.399999999999991</v>
      </c>
      <c r="AH198" s="20">
        <f t="shared" si="90"/>
        <v>54</v>
      </c>
      <c r="AI198" s="20">
        <v>300</v>
      </c>
      <c r="AJ198" s="20">
        <f t="shared" si="92"/>
        <v>244.8</v>
      </c>
      <c r="AM198" s="20" t="s">
        <v>633</v>
      </c>
      <c r="AN198" s="20" t="s">
        <v>633</v>
      </c>
      <c r="AO198" s="20" t="s">
        <v>633</v>
      </c>
      <c r="AP198" s="20" t="s">
        <v>633</v>
      </c>
      <c r="AQ198" s="20" t="s">
        <v>633</v>
      </c>
      <c r="AR198" s="20" t="s">
        <v>633</v>
      </c>
      <c r="AS198" s="20" t="s">
        <v>633</v>
      </c>
      <c r="AT198" s="20" t="s">
        <v>633</v>
      </c>
      <c r="AU198" s="20" t="s">
        <v>633</v>
      </c>
      <c r="AV198" s="20" t="s">
        <v>633</v>
      </c>
      <c r="AW198" s="20" t="s">
        <v>633</v>
      </c>
      <c r="AX198" s="20" t="s">
        <v>633</v>
      </c>
      <c r="AY198" s="20" t="s">
        <v>633</v>
      </c>
      <c r="AZ198" s="20" t="s">
        <v>633</v>
      </c>
      <c r="BA198" s="20" t="s">
        <v>633</v>
      </c>
      <c r="BB198" s="20" t="s">
        <v>633</v>
      </c>
      <c r="BC198" s="20" t="s">
        <v>633</v>
      </c>
      <c r="BD198" s="20" t="s">
        <v>633</v>
      </c>
      <c r="BE198" s="20" t="s">
        <v>633</v>
      </c>
      <c r="BF198" s="20" t="s">
        <v>633</v>
      </c>
      <c r="BG198" s="20" t="s">
        <v>633</v>
      </c>
      <c r="BH198" s="20" t="s">
        <v>633</v>
      </c>
      <c r="BI198" s="20" t="s">
        <v>633</v>
      </c>
      <c r="BL198" s="20">
        <v>0.51</v>
      </c>
      <c r="BM198" s="20">
        <v>0.8</v>
      </c>
      <c r="BN198" s="20">
        <v>0.77</v>
      </c>
      <c r="BO198" s="20">
        <v>0.88</v>
      </c>
      <c r="BP198" s="20">
        <v>4.5</v>
      </c>
      <c r="BQ198" s="20">
        <v>2.5</v>
      </c>
      <c r="BR198" s="20">
        <v>68</v>
      </c>
      <c r="BS198" s="20">
        <v>13</v>
      </c>
      <c r="BT198" s="20">
        <v>63</v>
      </c>
      <c r="BU198" s="20">
        <f>190/0.3</f>
        <v>633.33333333333337</v>
      </c>
      <c r="BV198" s="20">
        <v>2.8</v>
      </c>
      <c r="BW198" s="20">
        <v>11</v>
      </c>
      <c r="BX198" s="20">
        <v>2.9000000000000001E-2</v>
      </c>
      <c r="BZ198" s="20">
        <v>4.4000000000000004</v>
      </c>
      <c r="CA198" s="20">
        <v>1.4</v>
      </c>
      <c r="CB198" s="20">
        <v>0.48</v>
      </c>
      <c r="CD198" s="20">
        <v>20</v>
      </c>
      <c r="CJ198" s="20">
        <v>350</v>
      </c>
      <c r="CK198" s="20">
        <f t="shared" ref="CK198:CK209" si="93">CJ198*D198/1000</f>
        <v>87.5</v>
      </c>
      <c r="CL198" s="20">
        <f t="shared" si="77"/>
        <v>51.731266743259603</v>
      </c>
    </row>
    <row r="199" spans="1:91">
      <c r="A199" s="20" t="s">
        <v>543</v>
      </c>
      <c r="B199" s="20" t="s">
        <v>989</v>
      </c>
      <c r="D199" s="20">
        <v>250</v>
      </c>
      <c r="E199" s="20">
        <v>250</v>
      </c>
      <c r="F199" s="20">
        <f>0.2*1000/F$3</f>
        <v>8.6994345367551116</v>
      </c>
      <c r="G199" s="20">
        <f>0.37*1000/G$3</f>
        <v>9.4629156010230169</v>
      </c>
      <c r="H199" s="20">
        <f>0.13*1000/H$3*H$4</f>
        <v>6.4870259481037928</v>
      </c>
      <c r="I199" s="20">
        <f>50/I$3*I$4</f>
        <v>4.113533525298231</v>
      </c>
      <c r="J199" s="20">
        <f>0.34*1000/J$3</f>
        <v>9.590973201692524</v>
      </c>
      <c r="S199" s="20">
        <f>0.13*1000/S$3</f>
        <v>4.1976105908944144</v>
      </c>
      <c r="T199" s="20">
        <v>3.75</v>
      </c>
      <c r="AB199" s="20">
        <v>34.299999999999997</v>
      </c>
      <c r="AC199" s="20">
        <v>8.8000000000000007</v>
      </c>
      <c r="AE199" s="20">
        <v>8.8000000000000007</v>
      </c>
      <c r="AF199" s="20">
        <f t="shared" si="88"/>
        <v>137.19999999999999</v>
      </c>
      <c r="AG199" s="20">
        <f t="shared" si="89"/>
        <v>79.2</v>
      </c>
      <c r="AH199" s="20">
        <f t="shared" si="90"/>
        <v>35.200000000000003</v>
      </c>
      <c r="AI199" s="20">
        <v>250</v>
      </c>
      <c r="AJ199" s="20">
        <f t="shared" si="92"/>
        <v>216.39999999999998</v>
      </c>
      <c r="AM199" s="20" t="s">
        <v>633</v>
      </c>
      <c r="AN199" s="20" t="s">
        <v>633</v>
      </c>
      <c r="AO199" s="20" t="s">
        <v>633</v>
      </c>
      <c r="AP199" s="20" t="s">
        <v>633</v>
      </c>
      <c r="AQ199" s="20" t="s">
        <v>633</v>
      </c>
      <c r="AR199" s="20" t="s">
        <v>633</v>
      </c>
      <c r="AS199" s="20" t="s">
        <v>633</v>
      </c>
      <c r="AT199" s="20" t="s">
        <v>633</v>
      </c>
      <c r="AU199" s="20" t="s">
        <v>633</v>
      </c>
      <c r="AV199" s="20" t="s">
        <v>633</v>
      </c>
      <c r="AW199" s="20" t="s">
        <v>633</v>
      </c>
      <c r="AX199" s="20" t="s">
        <v>633</v>
      </c>
      <c r="AY199" s="20" t="s">
        <v>633</v>
      </c>
      <c r="AZ199" s="20" t="s">
        <v>633</v>
      </c>
      <c r="BA199" s="20" t="s">
        <v>633</v>
      </c>
      <c r="BB199" s="20" t="s">
        <v>633</v>
      </c>
      <c r="BC199" s="20" t="s">
        <v>633</v>
      </c>
      <c r="BD199" s="20" t="s">
        <v>633</v>
      </c>
      <c r="BE199" s="20" t="s">
        <v>633</v>
      </c>
      <c r="BF199" s="20" t="s">
        <v>633</v>
      </c>
      <c r="BG199" s="20" t="s">
        <v>633</v>
      </c>
      <c r="BH199" s="20" t="s">
        <v>633</v>
      </c>
      <c r="BI199" s="20" t="s">
        <v>633</v>
      </c>
      <c r="BL199" s="20">
        <v>0.38</v>
      </c>
      <c r="BM199" s="20">
        <v>0.43</v>
      </c>
      <c r="BN199" s="20">
        <v>0.5</v>
      </c>
      <c r="BO199" s="20">
        <v>1.5</v>
      </c>
      <c r="BP199" s="20">
        <v>5</v>
      </c>
      <c r="BQ199" s="20">
        <v>1.25</v>
      </c>
      <c r="BR199" s="20">
        <v>50</v>
      </c>
      <c r="BS199" s="20">
        <v>38</v>
      </c>
      <c r="BT199" s="20">
        <v>38</v>
      </c>
      <c r="BU199" s="20">
        <v>625</v>
      </c>
      <c r="BV199" s="20">
        <f>50/40</f>
        <v>1.25</v>
      </c>
      <c r="BW199" s="20">
        <v>7.5</v>
      </c>
      <c r="BX199" s="20">
        <v>1.7500000000000002E-2</v>
      </c>
      <c r="BZ199" s="20">
        <v>2.25</v>
      </c>
      <c r="CA199" s="20">
        <v>0.5</v>
      </c>
      <c r="CB199" s="20">
        <v>0.25</v>
      </c>
      <c r="CJ199" s="20">
        <v>330</v>
      </c>
      <c r="CK199" s="20">
        <f t="shared" si="93"/>
        <v>82.5</v>
      </c>
      <c r="CL199" s="20">
        <f t="shared" si="77"/>
        <v>42.662162851380245</v>
      </c>
    </row>
    <row r="200" spans="1:91">
      <c r="A200" s="20" t="s">
        <v>543</v>
      </c>
      <c r="B200" s="20" t="s">
        <v>987</v>
      </c>
      <c r="D200" s="20">
        <v>250</v>
      </c>
      <c r="E200" s="20">
        <v>250</v>
      </c>
      <c r="F200" s="20">
        <f>0.3*1000/F$3</f>
        <v>13.049151805132666</v>
      </c>
      <c r="G200" s="20">
        <f>0.56*1000/G$3</f>
        <v>14.322250639386189</v>
      </c>
      <c r="H200" s="20">
        <f>0.2*1000/H$3*H$4</f>
        <v>9.9800399201596814</v>
      </c>
      <c r="I200" s="20">
        <f>75/I$3*I$4</f>
        <v>6.170300287947347</v>
      </c>
      <c r="J200" s="20">
        <f>0.51*1000/J$3</f>
        <v>14.386459802538786</v>
      </c>
      <c r="S200" s="20">
        <f>0.2*1000/S$3</f>
        <v>6.4578624475298678</v>
      </c>
      <c r="T200" s="20">
        <v>5.63</v>
      </c>
      <c r="AB200" s="20">
        <v>51.5</v>
      </c>
      <c r="AC200" s="20">
        <v>13.2</v>
      </c>
      <c r="AE200" s="20">
        <v>13.2</v>
      </c>
      <c r="AF200" s="20">
        <f t="shared" si="88"/>
        <v>206</v>
      </c>
      <c r="AG200" s="20">
        <f t="shared" si="89"/>
        <v>118.8</v>
      </c>
      <c r="AH200" s="20">
        <f t="shared" si="90"/>
        <v>52.8</v>
      </c>
      <c r="AI200" s="20">
        <v>375</v>
      </c>
      <c r="AJ200" s="20">
        <f t="shared" si="92"/>
        <v>324.8</v>
      </c>
      <c r="AM200" s="20" t="s">
        <v>633</v>
      </c>
      <c r="AN200" s="20" t="s">
        <v>633</v>
      </c>
      <c r="AO200" s="20" t="s">
        <v>633</v>
      </c>
      <c r="AP200" s="20" t="s">
        <v>633</v>
      </c>
      <c r="AQ200" s="20" t="s">
        <v>633</v>
      </c>
      <c r="AR200" s="20" t="s">
        <v>633</v>
      </c>
      <c r="AS200" s="20" t="s">
        <v>633</v>
      </c>
      <c r="AT200" s="20" t="s">
        <v>633</v>
      </c>
      <c r="AU200" s="20" t="s">
        <v>633</v>
      </c>
      <c r="AV200" s="20" t="s">
        <v>633</v>
      </c>
      <c r="AW200" s="20" t="s">
        <v>633</v>
      </c>
      <c r="AX200" s="20" t="s">
        <v>633</v>
      </c>
      <c r="AY200" s="20" t="s">
        <v>633</v>
      </c>
      <c r="AZ200" s="20" t="s">
        <v>633</v>
      </c>
      <c r="BA200" s="20" t="s">
        <v>633</v>
      </c>
      <c r="BB200" s="20" t="s">
        <v>633</v>
      </c>
      <c r="BC200" s="20" t="s">
        <v>633</v>
      </c>
      <c r="BD200" s="20" t="s">
        <v>633</v>
      </c>
      <c r="BE200" s="20" t="s">
        <v>633</v>
      </c>
      <c r="BF200" s="20" t="s">
        <v>633</v>
      </c>
      <c r="BG200" s="20" t="s">
        <v>633</v>
      </c>
      <c r="BH200" s="20" t="s">
        <v>633</v>
      </c>
      <c r="BI200" s="20" t="s">
        <v>633</v>
      </c>
      <c r="BL200" s="20">
        <v>0.56999999999999995</v>
      </c>
      <c r="BM200" s="20">
        <v>0.65</v>
      </c>
      <c r="BN200" s="20">
        <v>0.75</v>
      </c>
      <c r="BO200" s="20">
        <v>2.2999999999999998</v>
      </c>
      <c r="BP200" s="20">
        <v>7.5</v>
      </c>
      <c r="BQ200" s="20">
        <v>1.88</v>
      </c>
      <c r="BR200" s="20">
        <v>75</v>
      </c>
      <c r="BS200" s="20">
        <v>57</v>
      </c>
      <c r="BT200" s="20">
        <v>57</v>
      </c>
      <c r="BU200" s="20">
        <v>938</v>
      </c>
      <c r="BV200" s="20">
        <f>50/40</f>
        <v>1.25</v>
      </c>
      <c r="BW200" s="20">
        <v>7.5</v>
      </c>
      <c r="BX200" s="20">
        <v>1.7500000000000002E-2</v>
      </c>
      <c r="BZ200" s="20">
        <v>2.25</v>
      </c>
      <c r="CA200" s="20">
        <v>0.5</v>
      </c>
      <c r="CB200" s="20">
        <v>0.25</v>
      </c>
      <c r="CJ200" s="20">
        <v>540</v>
      </c>
      <c r="CK200" s="20">
        <f t="shared" si="93"/>
        <v>135</v>
      </c>
      <c r="CL200" s="20">
        <f t="shared" si="77"/>
        <v>64.505484923789894</v>
      </c>
    </row>
    <row r="201" spans="1:91">
      <c r="A201" s="20" t="s">
        <v>543</v>
      </c>
      <c r="B201" s="20" t="s">
        <v>1241</v>
      </c>
      <c r="D201" s="20">
        <v>125</v>
      </c>
      <c r="E201" s="20">
        <v>125</v>
      </c>
      <c r="F201" s="20">
        <f>110/F$3</f>
        <v>4.7846889952153111</v>
      </c>
      <c r="G201" s="20">
        <f>120/G$3</f>
        <v>3.0690537084398977</v>
      </c>
      <c r="H201" s="20">
        <f>120/H$3*H$4</f>
        <v>5.9880239520958085</v>
      </c>
      <c r="I201" s="20">
        <f>40/I$3*I$4</f>
        <v>3.2908268202385851</v>
      </c>
      <c r="J201" s="20">
        <f t="shared" ref="J201:J202" si="94">110/J$3</f>
        <v>3.10296191819464</v>
      </c>
      <c r="S201" s="20">
        <f>140/S$3</f>
        <v>4.5205037132709078</v>
      </c>
      <c r="T201" s="20">
        <v>2</v>
      </c>
      <c r="AB201" s="20">
        <v>31.8</v>
      </c>
      <c r="AC201" s="20">
        <v>5.6</v>
      </c>
      <c r="AE201" s="20">
        <v>7.5</v>
      </c>
      <c r="AF201" s="20">
        <v>120</v>
      </c>
      <c r="AG201" s="20">
        <v>50</v>
      </c>
      <c r="AH201" s="20">
        <v>30</v>
      </c>
      <c r="AI201" s="20">
        <v>200</v>
      </c>
      <c r="AJ201" s="20">
        <f t="shared" si="92"/>
        <v>170</v>
      </c>
      <c r="AM201" s="20">
        <f>0.36*2</f>
        <v>0.72</v>
      </c>
      <c r="AN201" s="20">
        <f>0.19*2</f>
        <v>0.38</v>
      </c>
      <c r="AO201" s="20">
        <f>0.24*2</f>
        <v>0.48</v>
      </c>
      <c r="AP201" s="20">
        <f>0.3*2</f>
        <v>0.6</v>
      </c>
      <c r="AQ201" s="20">
        <f>0.16*2</f>
        <v>0.32</v>
      </c>
      <c r="AR201" s="20">
        <f>0.05*2</f>
        <v>0.1</v>
      </c>
      <c r="AS201" s="20">
        <f>0.1*2</f>
        <v>0.2</v>
      </c>
      <c r="AT201" s="20">
        <f>0.19*2</f>
        <v>0.38</v>
      </c>
      <c r="AV201" s="20">
        <f>0.02*2</f>
        <v>0.04</v>
      </c>
      <c r="AW201" s="20">
        <f>0.2*2</f>
        <v>0.4</v>
      </c>
      <c r="AX201" s="20">
        <f>0.2*2</f>
        <v>0.4</v>
      </c>
      <c r="AY201" s="20">
        <f>0.13*2</f>
        <v>0.26</v>
      </c>
      <c r="AZ201" s="20">
        <f>0.12*2</f>
        <v>0.24</v>
      </c>
      <c r="BA201" s="20">
        <f>0.39*2</f>
        <v>0.78</v>
      </c>
      <c r="BB201" s="20">
        <f>0.21*2</f>
        <v>0.42</v>
      </c>
      <c r="BC201" s="20">
        <f>0.07*2</f>
        <v>0.14000000000000001</v>
      </c>
      <c r="BD201" s="20">
        <f>0.28*2</f>
        <v>0.56000000000000005</v>
      </c>
      <c r="BE201" s="20">
        <f>0.82*2</f>
        <v>1.64</v>
      </c>
      <c r="BG201" s="20">
        <f>SUM(AM201:AT201,AX201)/(SUM(AM201:BE201)-SUM(AM201:AT201,AX201))</f>
        <v>0.79910714285714279</v>
      </c>
      <c r="BH201" s="20">
        <f t="array" ref="BH201">SUM(AM201:BE201)*(AM$4:BE$4)/(AM$3:BE$3)*14</f>
        <v>0.86025768087215082</v>
      </c>
      <c r="BI201" s="20" t="s">
        <v>633</v>
      </c>
      <c r="BL201" s="20">
        <v>0.3</v>
      </c>
      <c r="BM201" s="20">
        <v>0.4</v>
      </c>
      <c r="BN201" s="20">
        <v>0.6</v>
      </c>
      <c r="BO201" s="20">
        <v>1.2</v>
      </c>
      <c r="BP201" s="20">
        <v>4.9000000000000004</v>
      </c>
      <c r="BQ201" s="20">
        <v>1.2</v>
      </c>
      <c r="BR201" s="20">
        <v>60</v>
      </c>
      <c r="BS201" s="20">
        <v>0.42</v>
      </c>
      <c r="BT201" s="20">
        <v>32</v>
      </c>
      <c r="BU201" s="20">
        <f>120/0.3</f>
        <v>400</v>
      </c>
      <c r="BV201" s="20">
        <v>1</v>
      </c>
      <c r="BW201" s="20">
        <v>6</v>
      </c>
      <c r="BX201" s="20">
        <v>4.1999999999999997E-3</v>
      </c>
      <c r="BZ201" s="20">
        <v>1.5</v>
      </c>
      <c r="CA201" s="20">
        <v>1.4E-2</v>
      </c>
      <c r="CB201" s="20">
        <v>0.1</v>
      </c>
      <c r="CC201" s="20">
        <v>1.2</v>
      </c>
      <c r="CD201" s="20">
        <v>12</v>
      </c>
      <c r="CH201" s="20">
        <v>7</v>
      </c>
      <c r="CJ201" s="20">
        <v>500</v>
      </c>
      <c r="CK201" s="20">
        <f t="shared" si="93"/>
        <v>62.5</v>
      </c>
      <c r="CM201" s="20" t="s">
        <v>1238</v>
      </c>
    </row>
    <row r="202" spans="1:91">
      <c r="A202" s="20" t="s">
        <v>543</v>
      </c>
      <c r="B202" s="20" t="s">
        <v>1240</v>
      </c>
      <c r="D202" s="20">
        <v>125</v>
      </c>
      <c r="E202" s="20">
        <v>125</v>
      </c>
      <c r="F202" s="20">
        <f>180/F$3</f>
        <v>7.8294910830796001</v>
      </c>
      <c r="G202" s="20">
        <f>120/G$3</f>
        <v>3.0690537084398977</v>
      </c>
      <c r="H202" s="20">
        <f>120/H$3*H$4</f>
        <v>5.9880239520958085</v>
      </c>
      <c r="I202" s="20">
        <f>40/I$3*I$4</f>
        <v>3.2908268202385851</v>
      </c>
      <c r="J202" s="20">
        <f t="shared" si="94"/>
        <v>3.10296191819464</v>
      </c>
      <c r="S202" s="20">
        <f>140/S$3</f>
        <v>4.5205037132709078</v>
      </c>
      <c r="T202" s="20">
        <v>2</v>
      </c>
      <c r="AB202" s="20">
        <v>31.8</v>
      </c>
      <c r="AC202" s="20">
        <v>5.6</v>
      </c>
      <c r="AE202" s="20">
        <v>7.5</v>
      </c>
      <c r="AF202" s="20">
        <v>120</v>
      </c>
      <c r="AG202" s="20">
        <v>50</v>
      </c>
      <c r="AH202" s="20">
        <v>30</v>
      </c>
      <c r="AI202" s="20">
        <v>200</v>
      </c>
      <c r="AJ202" s="20">
        <f t="shared" ref="AJ202" si="95">SUM(AF202,AG202)</f>
        <v>170</v>
      </c>
      <c r="AM202" s="20">
        <f>0.36*2</f>
        <v>0.72</v>
      </c>
      <c r="AN202" s="20">
        <f>0.19*2</f>
        <v>0.38</v>
      </c>
      <c r="AO202" s="20">
        <f>0.24*2</f>
        <v>0.48</v>
      </c>
      <c r="AP202" s="20">
        <f>0.3*2</f>
        <v>0.6</v>
      </c>
      <c r="AQ202" s="20">
        <f>0.16*2</f>
        <v>0.32</v>
      </c>
      <c r="AR202" s="20">
        <f>0.05*2</f>
        <v>0.1</v>
      </c>
      <c r="AS202" s="20">
        <f>0.1*2</f>
        <v>0.2</v>
      </c>
      <c r="AT202" s="20">
        <f>0.19*2</f>
        <v>0.38</v>
      </c>
      <c r="AV202" s="20">
        <f>0.02*2</f>
        <v>0.04</v>
      </c>
      <c r="AW202" s="20">
        <f>0.2*2</f>
        <v>0.4</v>
      </c>
      <c r="AX202" s="20">
        <f>0.2*2</f>
        <v>0.4</v>
      </c>
      <c r="AY202" s="20">
        <f>0.13*2</f>
        <v>0.26</v>
      </c>
      <c r="AZ202" s="20">
        <f>0.12*2</f>
        <v>0.24</v>
      </c>
      <c r="BA202" s="20">
        <f>0.39*2</f>
        <v>0.78</v>
      </c>
      <c r="BB202" s="20">
        <f>0.21*2</f>
        <v>0.42</v>
      </c>
      <c r="BC202" s="20">
        <f>0.07*2</f>
        <v>0.14000000000000001</v>
      </c>
      <c r="BD202" s="20">
        <f>0.28*2</f>
        <v>0.56000000000000005</v>
      </c>
      <c r="BE202" s="20">
        <f>0.82*2</f>
        <v>1.64</v>
      </c>
      <c r="BG202" s="20">
        <f>SUM(AM202:AT202,AX202)/(SUM(AM202:BE202)-SUM(AM202:AT202,AX202))</f>
        <v>0.79910714285714279</v>
      </c>
      <c r="BH202" s="20">
        <f t="array" ref="BH202">SUM(AM202:BE202)*(AM$4:BE$4)/(AM$3:BE$3)*14</f>
        <v>0.86025768087215082</v>
      </c>
      <c r="BI202" s="20" t="s">
        <v>633</v>
      </c>
      <c r="BL202" s="20">
        <v>0.3</v>
      </c>
      <c r="BM202" s="20">
        <v>0.4</v>
      </c>
      <c r="BN202" s="20">
        <v>0.6</v>
      </c>
      <c r="BO202" s="20">
        <v>1.2</v>
      </c>
      <c r="BP202" s="20">
        <v>4.9000000000000004</v>
      </c>
      <c r="BQ202" s="20">
        <v>1.2</v>
      </c>
      <c r="BR202" s="20">
        <v>60</v>
      </c>
      <c r="BS202" s="20">
        <v>0.42</v>
      </c>
      <c r="BT202" s="20">
        <v>32</v>
      </c>
      <c r="BU202" s="20">
        <f>120/0.3</f>
        <v>400</v>
      </c>
      <c r="BV202" s="20">
        <v>1</v>
      </c>
      <c r="BW202" s="20">
        <v>6</v>
      </c>
      <c r="BX202" s="20">
        <v>4.1999999999999997E-3</v>
      </c>
      <c r="BZ202" s="20">
        <v>1.5</v>
      </c>
      <c r="CA202" s="20">
        <v>1.4E-2</v>
      </c>
      <c r="CB202" s="20">
        <v>0.1</v>
      </c>
      <c r="CC202" s="20">
        <v>1.2</v>
      </c>
      <c r="CD202" s="20">
        <v>12</v>
      </c>
      <c r="CH202" s="20">
        <v>7</v>
      </c>
      <c r="CJ202" s="20">
        <v>500</v>
      </c>
      <c r="CK202" s="20">
        <f t="shared" ref="CK202" si="96">CJ202*D202/1000</f>
        <v>62.5</v>
      </c>
      <c r="CM202" s="20" t="s">
        <v>1238</v>
      </c>
    </row>
    <row r="203" spans="1:91">
      <c r="A203" s="20" t="s">
        <v>543</v>
      </c>
      <c r="B203" s="20" t="s">
        <v>824</v>
      </c>
      <c r="D203" s="20">
        <v>4</v>
      </c>
      <c r="F203" s="20">
        <v>60</v>
      </c>
      <c r="G203" s="20">
        <v>20</v>
      </c>
      <c r="I203" s="20">
        <v>3</v>
      </c>
      <c r="J203" s="20">
        <v>50</v>
      </c>
      <c r="Q203" s="20">
        <v>20</v>
      </c>
      <c r="S203" s="20">
        <v>10</v>
      </c>
      <c r="AB203" s="20">
        <v>3.2</v>
      </c>
      <c r="AF203" s="20">
        <f t="shared" si="88"/>
        <v>12.8</v>
      </c>
      <c r="AI203" s="20">
        <v>13</v>
      </c>
      <c r="CJ203" s="20">
        <v>24.9</v>
      </c>
      <c r="CK203" s="20">
        <v>24.9</v>
      </c>
      <c r="CL203" s="20">
        <f t="shared" si="77"/>
        <v>163</v>
      </c>
    </row>
    <row r="204" spans="1:91">
      <c r="A204" s="20" t="s">
        <v>543</v>
      </c>
      <c r="B204" s="20" t="s">
        <v>825</v>
      </c>
      <c r="D204" s="20">
        <v>4</v>
      </c>
      <c r="F204" s="20">
        <v>35</v>
      </c>
      <c r="G204" s="20">
        <v>20</v>
      </c>
      <c r="I204" s="20">
        <v>3</v>
      </c>
      <c r="J204" s="20">
        <v>30</v>
      </c>
      <c r="Q204" s="20">
        <v>20</v>
      </c>
      <c r="S204" s="20">
        <v>5</v>
      </c>
      <c r="X204" s="20">
        <v>0.16</v>
      </c>
      <c r="AB204" s="20">
        <v>3.3</v>
      </c>
      <c r="AF204" s="20">
        <f t="shared" si="88"/>
        <v>13.2</v>
      </c>
      <c r="AI204" s="20">
        <v>13</v>
      </c>
      <c r="CJ204" s="20">
        <v>20</v>
      </c>
      <c r="CK204" s="20">
        <v>20</v>
      </c>
      <c r="CL204" s="20">
        <f t="shared" si="77"/>
        <v>113.46742623429741</v>
      </c>
    </row>
    <row r="205" spans="1:91">
      <c r="A205" s="20" t="s">
        <v>543</v>
      </c>
      <c r="B205" s="20" t="s">
        <v>832</v>
      </c>
      <c r="D205" s="20">
        <v>100</v>
      </c>
      <c r="E205" s="20">
        <v>100</v>
      </c>
      <c r="F205" s="20">
        <v>60</v>
      </c>
      <c r="G205" s="20">
        <v>20</v>
      </c>
      <c r="I205" s="20">
        <v>3</v>
      </c>
      <c r="J205" s="20">
        <v>50</v>
      </c>
      <c r="Q205" s="20">
        <v>20</v>
      </c>
      <c r="S205" s="20">
        <v>10</v>
      </c>
      <c r="AB205" s="20">
        <v>3.2</v>
      </c>
      <c r="AF205" s="20">
        <f t="shared" ref="AF205:AF207" si="97">AB205*4</f>
        <v>12.8</v>
      </c>
      <c r="AI205" s="20">
        <v>13</v>
      </c>
      <c r="CJ205" s="20">
        <v>249</v>
      </c>
      <c r="CK205" s="20">
        <f t="shared" si="93"/>
        <v>24.9</v>
      </c>
      <c r="CL205" s="20">
        <f t="shared" si="77"/>
        <v>163</v>
      </c>
    </row>
    <row r="206" spans="1:91">
      <c r="A206" s="20" t="s">
        <v>543</v>
      </c>
      <c r="B206" s="20" t="s">
        <v>833</v>
      </c>
      <c r="D206" s="20">
        <v>100</v>
      </c>
      <c r="E206" s="20">
        <v>100</v>
      </c>
      <c r="F206" s="20">
        <v>35</v>
      </c>
      <c r="G206" s="20">
        <v>20</v>
      </c>
      <c r="I206" s="20">
        <v>3</v>
      </c>
      <c r="J206" s="20">
        <v>30</v>
      </c>
      <c r="Q206" s="20">
        <v>20</v>
      </c>
      <c r="S206" s="20">
        <v>5</v>
      </c>
      <c r="X206" s="20">
        <v>0.16</v>
      </c>
      <c r="AB206" s="20">
        <v>3.3</v>
      </c>
      <c r="AF206" s="20">
        <f t="shared" si="97"/>
        <v>13.2</v>
      </c>
      <c r="AI206" s="20">
        <v>13</v>
      </c>
      <c r="CJ206" s="20">
        <v>200</v>
      </c>
      <c r="CK206" s="20">
        <f t="shared" si="93"/>
        <v>20</v>
      </c>
      <c r="CL206" s="20">
        <f t="shared" si="77"/>
        <v>113.46742623429741</v>
      </c>
    </row>
    <row r="207" spans="1:91">
      <c r="A207" s="20" t="s">
        <v>543</v>
      </c>
      <c r="B207" s="20" t="s">
        <v>1081</v>
      </c>
      <c r="D207" s="20">
        <v>1000</v>
      </c>
      <c r="E207" s="20">
        <v>1000</v>
      </c>
      <c r="F207" s="20">
        <v>50</v>
      </c>
      <c r="G207" s="20">
        <v>20</v>
      </c>
      <c r="I207" s="20">
        <f>2.4*10/I$3*I$4</f>
        <v>1.9744960921431511</v>
      </c>
      <c r="J207" s="20">
        <v>50</v>
      </c>
      <c r="S207" s="20">
        <f>6.2/S$3</f>
        <v>0.2001937358734259</v>
      </c>
      <c r="W207" s="20">
        <v>18</v>
      </c>
      <c r="AB207" s="20">
        <v>25</v>
      </c>
      <c r="AC207" s="20">
        <v>0</v>
      </c>
      <c r="AF207" s="20">
        <f t="shared" si="97"/>
        <v>100</v>
      </c>
      <c r="CK207" s="20">
        <v>270</v>
      </c>
      <c r="CL207" s="20">
        <f t="shared" si="77"/>
        <v>222.0880982074211</v>
      </c>
    </row>
    <row r="208" spans="1:91">
      <c r="A208" s="20" t="s">
        <v>543</v>
      </c>
      <c r="B208" s="20" t="s">
        <v>391</v>
      </c>
      <c r="D208" s="20">
        <v>100</v>
      </c>
      <c r="E208" s="20">
        <v>100</v>
      </c>
      <c r="F208" s="20">
        <f>15/F$3</f>
        <v>0.65245759025663341</v>
      </c>
      <c r="G208" s="20">
        <f>48/G$3</f>
        <v>1.2276214833759591</v>
      </c>
      <c r="H208" s="20">
        <f>27/H$3*H$4</f>
        <v>1.347305389221557</v>
      </c>
      <c r="I208" s="20">
        <f>3/I$3*I$4</f>
        <v>0.24681201151789389</v>
      </c>
      <c r="S208" s="20">
        <f>14/S$3</f>
        <v>0.45205037132709075</v>
      </c>
      <c r="T208" s="20">
        <v>0.3</v>
      </c>
      <c r="AB208" s="20">
        <v>7.2</v>
      </c>
      <c r="AC208" s="20">
        <v>3.5</v>
      </c>
      <c r="AE208" s="20">
        <v>1.1000000000000001</v>
      </c>
      <c r="AF208" s="20">
        <f t="shared" ref="AF208" si="98">AB208*4</f>
        <v>28.8</v>
      </c>
      <c r="AG208" s="20">
        <f t="shared" ref="AG208" si="99">AC208*9</f>
        <v>31.5</v>
      </c>
      <c r="AH208" s="20">
        <f t="shared" ref="AH208" si="100">AE208*4</f>
        <v>4.4000000000000004</v>
      </c>
      <c r="AI208" s="20">
        <v>65</v>
      </c>
      <c r="AJ208" s="20">
        <f t="shared" ref="AJ208" si="101">SUM(AF208,AG208)</f>
        <v>60.3</v>
      </c>
      <c r="AK208" s="20">
        <f>AJ208/BH208</f>
        <v>262.03090909090906</v>
      </c>
      <c r="AM208" s="20">
        <v>9.9000000000000005E-2</v>
      </c>
      <c r="AN208" s="20">
        <v>5.0999999999999997E-2</v>
      </c>
      <c r="AO208" s="20">
        <v>5.6000000000000001E-2</v>
      </c>
      <c r="AP208" s="20">
        <v>6.6000000000000003E-2</v>
      </c>
      <c r="AQ208" s="20">
        <v>4.2999999999999997E-2</v>
      </c>
      <c r="AR208" s="20">
        <v>1.4999999999999999E-2</v>
      </c>
      <c r="AS208" s="20">
        <v>1.4999999999999999E-2</v>
      </c>
      <c r="AT208" s="20">
        <v>4.2000000000000003E-2</v>
      </c>
      <c r="AV208" s="20">
        <v>2.4E-2</v>
      </c>
      <c r="AW208" s="20">
        <v>0.04</v>
      </c>
      <c r="AX208" s="20">
        <v>2.5999999999999999E-2</v>
      </c>
      <c r="AY208" s="20">
        <v>3.2000000000000001E-2</v>
      </c>
      <c r="AZ208" s="20">
        <v>3.5999999999999997E-2</v>
      </c>
      <c r="BA208" s="20">
        <v>9.1999999999999998E-2</v>
      </c>
      <c r="BB208" s="20">
        <v>4.1000000000000002E-2</v>
      </c>
      <c r="BC208" s="20">
        <v>2.1999999999999999E-2</v>
      </c>
      <c r="BD208" s="20">
        <v>8.5999999999999993E-2</v>
      </c>
      <c r="BE208" s="20">
        <v>0.17</v>
      </c>
      <c r="BF208" s="20">
        <f>(3.63+3.21)/2000</f>
        <v>3.4199999999999999E-3</v>
      </c>
      <c r="BG208" s="20">
        <f>SUM(AM208:AT208,AX208)/(SUM(AM208:BE208)-SUM(AM208:AT208,AX208))</f>
        <v>0.76058931860036838</v>
      </c>
      <c r="BH208" s="20">
        <f>AE208/4.78</f>
        <v>0.23012552301255232</v>
      </c>
      <c r="BI208" s="20">
        <f>SUM(AM208:AO208)/0.96*100</f>
        <v>21.458333333333332</v>
      </c>
      <c r="BL208" s="20">
        <v>0.01</v>
      </c>
      <c r="BM208" s="20">
        <v>0.01</v>
      </c>
      <c r="BN208" s="20">
        <v>0</v>
      </c>
      <c r="BO208" s="20">
        <v>0</v>
      </c>
      <c r="BP208" s="20">
        <v>0.2</v>
      </c>
      <c r="BQ208" s="20">
        <v>0.5</v>
      </c>
      <c r="BR208" s="20">
        <v>0</v>
      </c>
      <c r="BS208" s="20">
        <v>0.5</v>
      </c>
      <c r="BT208" s="20">
        <v>5</v>
      </c>
      <c r="BU208" s="20">
        <f>46/0.3</f>
        <v>153.33333333333334</v>
      </c>
      <c r="BV208" s="20">
        <v>0.3</v>
      </c>
      <c r="BW208" s="20">
        <v>0.4</v>
      </c>
      <c r="BX208" s="20">
        <v>1</v>
      </c>
      <c r="BZ208" s="20">
        <v>0.04</v>
      </c>
      <c r="CA208" s="20">
        <v>0</v>
      </c>
      <c r="CB208" s="20">
        <v>0.03</v>
      </c>
      <c r="CC208" s="20">
        <v>0</v>
      </c>
      <c r="CD208" s="20">
        <v>2</v>
      </c>
      <c r="CJ208" s="20">
        <v>280</v>
      </c>
      <c r="CK208" s="20">
        <f t="shared" si="93"/>
        <v>28</v>
      </c>
      <c r="CL208" s="20">
        <f t="shared" si="77"/>
        <v>3.939272424133752</v>
      </c>
      <c r="CM208" s="20" t="s">
        <v>1028</v>
      </c>
    </row>
    <row r="209" spans="1:91">
      <c r="A209" s="20" t="s">
        <v>543</v>
      </c>
      <c r="B209" s="20" t="s">
        <v>827</v>
      </c>
      <c r="D209" s="20">
        <v>100</v>
      </c>
      <c r="E209" s="20">
        <v>100</v>
      </c>
      <c r="F209" s="20">
        <f>15.2/F$3</f>
        <v>0.66115702479338845</v>
      </c>
      <c r="G209" s="20">
        <f>48/G$3</f>
        <v>1.2276214833759591</v>
      </c>
      <c r="H209" s="20">
        <f>44.5/H$3*H$4</f>
        <v>2.2205588822355291</v>
      </c>
      <c r="I209" s="20">
        <f>4.7/I$3*I$4</f>
        <v>0.38667215137803379</v>
      </c>
      <c r="S209" s="20">
        <f>27.9/S$3</f>
        <v>0.9008718114304165</v>
      </c>
      <c r="T209" s="20">
        <v>0.4</v>
      </c>
      <c r="AB209" s="20">
        <v>7.1</v>
      </c>
      <c r="AC209" s="20">
        <v>3.56</v>
      </c>
      <c r="AE209" s="20">
        <v>1.52</v>
      </c>
      <c r="AF209" s="20">
        <f t="shared" ref="AF209:AF210" si="102">AB209*4</f>
        <v>28.4</v>
      </c>
      <c r="AG209" s="20">
        <f t="shared" ref="AG209:AG210" si="103">AC209*9</f>
        <v>32.04</v>
      </c>
      <c r="AH209" s="20">
        <f t="shared" ref="AH209:AH210" si="104">AE209*4</f>
        <v>6.08</v>
      </c>
      <c r="AI209" s="20">
        <v>66.400000000000006</v>
      </c>
      <c r="AJ209" s="20">
        <f t="shared" ref="AJ209:AJ210" si="105">SUM(AF209,AG209)</f>
        <v>60.44</v>
      </c>
      <c r="AM209" s="20" t="s">
        <v>1000</v>
      </c>
      <c r="AN209" s="20" t="s">
        <v>1001</v>
      </c>
      <c r="AO209" s="20" t="s">
        <v>1001</v>
      </c>
      <c r="AP209" s="20" t="s">
        <v>1001</v>
      </c>
      <c r="AQ209" s="20" t="s">
        <v>1001</v>
      </c>
      <c r="AR209" s="20" t="s">
        <v>1001</v>
      </c>
      <c r="AS209" s="20" t="s">
        <v>1001</v>
      </c>
      <c r="AT209" s="20" t="s">
        <v>1001</v>
      </c>
      <c r="AU209" s="20" t="s">
        <v>1001</v>
      </c>
      <c r="AV209" s="20" t="s">
        <v>1001</v>
      </c>
      <c r="AW209" s="20" t="s">
        <v>1001</v>
      </c>
      <c r="AX209" s="20" t="s">
        <v>1001</v>
      </c>
      <c r="AY209" s="20" t="s">
        <v>1001</v>
      </c>
      <c r="AZ209" s="20" t="s">
        <v>1001</v>
      </c>
      <c r="BA209" s="20" t="s">
        <v>1001</v>
      </c>
      <c r="BB209" s="20" t="s">
        <v>1001</v>
      </c>
      <c r="BC209" s="20" t="s">
        <v>1001</v>
      </c>
      <c r="BD209" s="20" t="s">
        <v>1001</v>
      </c>
      <c r="BE209" s="20" t="s">
        <v>1001</v>
      </c>
      <c r="BF209" s="20" t="s">
        <v>1001</v>
      </c>
      <c r="BG209" s="20" t="s">
        <v>1001</v>
      </c>
      <c r="BH209" s="20" t="s">
        <v>1001</v>
      </c>
      <c r="BI209" s="20" t="s">
        <v>1001</v>
      </c>
      <c r="BL209" s="20">
        <v>0.08</v>
      </c>
      <c r="BM209" s="20">
        <v>0.11</v>
      </c>
      <c r="BN209" s="20">
        <v>0.04</v>
      </c>
      <c r="BO209" s="20">
        <v>0.15</v>
      </c>
      <c r="BP209" s="20">
        <v>5</v>
      </c>
      <c r="BQ209" s="20">
        <v>0.55000000000000004</v>
      </c>
      <c r="BR209" s="20">
        <v>10.16</v>
      </c>
      <c r="BS209" s="20">
        <v>6.3</v>
      </c>
      <c r="BT209" s="20">
        <v>7.62</v>
      </c>
      <c r="BU209" s="20">
        <f>54.61/0.3</f>
        <v>182.03333333333333</v>
      </c>
      <c r="BV209" s="20">
        <v>1.05</v>
      </c>
      <c r="BW209" s="20">
        <v>0.76</v>
      </c>
      <c r="BX209" s="20">
        <v>3.18</v>
      </c>
      <c r="BZ209" s="20">
        <v>0.9</v>
      </c>
      <c r="CA209" s="20">
        <v>0.02</v>
      </c>
      <c r="CB209" s="20">
        <v>0.37</v>
      </c>
      <c r="CC209" s="20">
        <v>120</v>
      </c>
      <c r="CJ209" s="20">
        <v>280</v>
      </c>
      <c r="CK209" s="20">
        <f t="shared" si="93"/>
        <v>28</v>
      </c>
      <c r="CL209" s="20">
        <f t="shared" si="77"/>
        <v>5.4252993099115283</v>
      </c>
      <c r="CM209" s="20" t="s">
        <v>1141</v>
      </c>
    </row>
    <row r="210" spans="1:91">
      <c r="A210" s="20" t="s">
        <v>543</v>
      </c>
      <c r="B210" s="20" t="s">
        <v>828</v>
      </c>
      <c r="D210" s="20">
        <v>1</v>
      </c>
      <c r="F210" s="20">
        <f>5.6/F$3</f>
        <v>0.24358416702914309</v>
      </c>
      <c r="G210" s="20">
        <f>7.5/G$3</f>
        <v>0.1918158567774936</v>
      </c>
      <c r="H210" s="20">
        <f>30/H$3*H$4</f>
        <v>1.4970059880239521</v>
      </c>
      <c r="S210" s="20">
        <f>18/S$3</f>
        <v>0.58120762027768813</v>
      </c>
      <c r="AB210" s="20">
        <v>0.5</v>
      </c>
      <c r="AC210" s="20">
        <v>0.3</v>
      </c>
      <c r="AE210" s="20">
        <v>0.3</v>
      </c>
      <c r="AF210" s="20">
        <f t="shared" si="102"/>
        <v>2</v>
      </c>
      <c r="AG210" s="20">
        <f t="shared" si="103"/>
        <v>2.6999999999999997</v>
      </c>
      <c r="AH210" s="20">
        <f t="shared" si="104"/>
        <v>1.2</v>
      </c>
      <c r="AI210" s="20">
        <v>6</v>
      </c>
      <c r="AJ210" s="20">
        <f t="shared" si="105"/>
        <v>4.6999999999999993</v>
      </c>
      <c r="CK210" s="20">
        <f>CL210</f>
        <v>2.5136136321082772</v>
      </c>
      <c r="CL210" s="20">
        <f t="shared" si="77"/>
        <v>2.5136136321082772</v>
      </c>
      <c r="CM210" s="20" t="s">
        <v>1080</v>
      </c>
    </row>
    <row r="211" spans="1:91">
      <c r="A211" s="20" t="s">
        <v>543</v>
      </c>
      <c r="B211" s="20" t="s">
        <v>829</v>
      </c>
      <c r="D211" s="20">
        <v>100</v>
      </c>
      <c r="E211" s="20">
        <v>100</v>
      </c>
      <c r="F211" s="20">
        <f>F208+F210*100/60</f>
        <v>1.0584312019718718</v>
      </c>
      <c r="G211" s="20">
        <f>G208+G210*100/60</f>
        <v>1.5473145780051152</v>
      </c>
      <c r="H211" s="20">
        <f>H208+H210*100/60</f>
        <v>3.8423153692614767</v>
      </c>
      <c r="I211" s="20">
        <f>I208+I210*100/60</f>
        <v>0.24681201151789389</v>
      </c>
      <c r="S211" s="20">
        <f>S208+S210*100/60</f>
        <v>1.4207297384565709</v>
      </c>
      <c r="T211" s="20">
        <f>T208+T210*100/60</f>
        <v>0.3</v>
      </c>
      <c r="AB211" s="20">
        <f t="shared" ref="AB211" si="106">AB208+AB210*100/60</f>
        <v>8.0333333333333332</v>
      </c>
      <c r="AC211" s="20">
        <f t="shared" ref="AC211" si="107">AC208+AC210*100/60</f>
        <v>4</v>
      </c>
      <c r="AE211" s="20">
        <f t="shared" ref="AE211" si="108">AE208+AE210*100/60</f>
        <v>1.6</v>
      </c>
      <c r="AF211" s="20">
        <f t="shared" ref="AF211" si="109">AF208+AF210*100/60</f>
        <v>32.133333333333333</v>
      </c>
      <c r="AG211" s="20">
        <f t="shared" ref="AG211" si="110">AG208+AG210*100/60</f>
        <v>36</v>
      </c>
      <c r="AH211" s="20">
        <f t="shared" ref="AH211" si="111">AH208+AH210*100/60</f>
        <v>6.4</v>
      </c>
      <c r="AI211" s="20">
        <f t="shared" ref="AI211" si="112">AI208+AI210*100/60</f>
        <v>75</v>
      </c>
      <c r="AJ211" s="20">
        <f t="shared" ref="AJ211" si="113">AJ208+AJ210*100/60</f>
        <v>68.133333333333326</v>
      </c>
      <c r="AM211" s="20">
        <f t="shared" ref="AM211" si="114">AM208+AM210*100/60</f>
        <v>9.9000000000000005E-2</v>
      </c>
      <c r="AN211" s="20">
        <f t="shared" ref="AN211" si="115">AN208+AN210*100/60</f>
        <v>5.0999999999999997E-2</v>
      </c>
      <c r="AO211" s="20">
        <f t="shared" ref="AO211" si="116">AO208+AO210*100/60</f>
        <v>5.6000000000000001E-2</v>
      </c>
      <c r="AP211" s="20">
        <f t="shared" ref="AP211" si="117">AP208+AP210*100/60</f>
        <v>6.6000000000000003E-2</v>
      </c>
      <c r="AQ211" s="20">
        <f t="shared" ref="AQ211" si="118">AQ208+AQ210*100/60</f>
        <v>4.2999999999999997E-2</v>
      </c>
      <c r="AR211" s="20">
        <f t="shared" ref="AR211" si="119">AR208+AR210*100/60</f>
        <v>1.4999999999999999E-2</v>
      </c>
      <c r="AS211" s="20">
        <f t="shared" ref="AS211" si="120">AS208+AS210*100/60</f>
        <v>1.4999999999999999E-2</v>
      </c>
      <c r="AT211" s="20">
        <f t="shared" ref="AT211" si="121">AT208+AT210*100/60</f>
        <v>4.2000000000000003E-2</v>
      </c>
      <c r="AV211" s="20">
        <f t="shared" ref="AV211" si="122">AV208+AV210*100/60</f>
        <v>2.4E-2</v>
      </c>
      <c r="AW211" s="20">
        <f t="shared" ref="AW211" si="123">AW208+AW210*100/60</f>
        <v>0.04</v>
      </c>
      <c r="AX211" s="20">
        <f t="shared" ref="AX211" si="124">AX208+AX210*100/60</f>
        <v>2.5999999999999999E-2</v>
      </c>
      <c r="AY211" s="20">
        <f t="shared" ref="AY211" si="125">AY208+AY210*100/60</f>
        <v>3.2000000000000001E-2</v>
      </c>
      <c r="AZ211" s="20">
        <f t="shared" ref="AZ211" si="126">AZ208+AZ210*100/60</f>
        <v>3.5999999999999997E-2</v>
      </c>
      <c r="BA211" s="20">
        <f t="shared" ref="BA211" si="127">BA208+BA210*100/60</f>
        <v>9.1999999999999998E-2</v>
      </c>
      <c r="BB211" s="20">
        <f t="shared" ref="BB211" si="128">BB208+BB210*100/60</f>
        <v>4.1000000000000002E-2</v>
      </c>
      <c r="BC211" s="20">
        <f t="shared" ref="BC211" si="129">BC208+BC210*100/60</f>
        <v>2.1999999999999999E-2</v>
      </c>
      <c r="BD211" s="20">
        <f t="shared" ref="BD211" si="130">BD208+BD210*100/60</f>
        <v>8.5999999999999993E-2</v>
      </c>
      <c r="BE211" s="20">
        <f t="shared" ref="BE211" si="131">BE208+BE210*100/60</f>
        <v>0.17</v>
      </c>
      <c r="BF211" s="20">
        <f t="shared" ref="BF211" si="132">BF208+BF210*100/60</f>
        <v>3.4199999999999999E-3</v>
      </c>
      <c r="BG211" s="20">
        <f t="shared" ref="BG211:BG212" si="133">SUM(AM211:AT211,AX211)/(SUM(AM211:BE211)-SUM(AM211:AT211,AX211))</f>
        <v>0.76058931860036838</v>
      </c>
      <c r="BH211" s="20">
        <f t="shared" ref="BH211:BH212" si="134">AE211/4.78</f>
        <v>0.33472803347280333</v>
      </c>
      <c r="BI211" s="20">
        <f t="shared" ref="BI211:BI212" si="135">SUM(AM211:AO211)/0.96*100</f>
        <v>21.458333333333332</v>
      </c>
      <c r="BL211" s="20">
        <f t="shared" ref="BL211" si="136">BL208+BL210*100/60</f>
        <v>0.01</v>
      </c>
      <c r="BM211" s="20">
        <f t="shared" ref="BM211" si="137">BM208+BM210*100/60</f>
        <v>0.01</v>
      </c>
      <c r="BN211" s="20">
        <f t="shared" ref="BN211" si="138">BN208+BN210*100/60</f>
        <v>0</v>
      </c>
      <c r="BO211" s="20">
        <f t="shared" ref="BO211" si="139">BO208+BO210*100/60</f>
        <v>0</v>
      </c>
      <c r="BP211" s="20">
        <f t="shared" ref="BP211" si="140">BP208+BP210*100/60</f>
        <v>0.2</v>
      </c>
      <c r="BQ211" s="20">
        <f t="shared" ref="BQ211" si="141">BQ208+BQ210*100/60</f>
        <v>0.5</v>
      </c>
      <c r="BR211" s="20">
        <f t="shared" ref="BR211" si="142">BR208+BR210*100/60</f>
        <v>0</v>
      </c>
      <c r="BS211" s="20">
        <f t="shared" ref="BS211" si="143">BS208+BS210*100/60</f>
        <v>0.5</v>
      </c>
      <c r="BT211" s="20">
        <f t="shared" ref="BT211" si="144">BT208+BT210*100/60</f>
        <v>5</v>
      </c>
      <c r="BU211" s="20">
        <f t="shared" ref="BU211" si="145">BU208+BU210*100/60</f>
        <v>153.33333333333334</v>
      </c>
      <c r="BV211" s="20">
        <f t="shared" ref="BV211" si="146">BV208+BV210*100/60</f>
        <v>0.3</v>
      </c>
      <c r="BW211" s="20">
        <f t="shared" ref="BW211" si="147">BW208+BW210*100/60</f>
        <v>0.4</v>
      </c>
      <c r="BX211" s="20">
        <f t="shared" ref="BX211" si="148">BX208+BX210*100/60</f>
        <v>1</v>
      </c>
      <c r="BZ211" s="20">
        <f t="shared" ref="BZ211" si="149">BZ208+BZ210*100/60</f>
        <v>0.04</v>
      </c>
      <c r="CA211" s="20">
        <f t="shared" ref="CA211" si="150">CA208+CA210*100/60</f>
        <v>0</v>
      </c>
      <c r="CB211" s="20">
        <f t="shared" ref="CB211" si="151">CB208+CB210*100/60</f>
        <v>0.03</v>
      </c>
      <c r="CC211" s="20">
        <f t="shared" ref="CC211" si="152">CC208+CC210*100/60</f>
        <v>0</v>
      </c>
      <c r="CD211" s="20">
        <f t="shared" ref="CD211" si="153">CD208+CD210*100/60</f>
        <v>2</v>
      </c>
      <c r="CK211" s="20">
        <f t="shared" ref="CK211" si="154">CK208+CK210*100/60</f>
        <v>32.189356053513798</v>
      </c>
      <c r="CL211" s="20">
        <f t="shared" si="77"/>
        <v>8.1286284776475437</v>
      </c>
    </row>
    <row r="212" spans="1:91">
      <c r="A212" s="20" t="s">
        <v>543</v>
      </c>
      <c r="B212" s="20" t="s">
        <v>830</v>
      </c>
      <c r="D212" s="20">
        <v>100</v>
      </c>
      <c r="E212" s="20">
        <v>100</v>
      </c>
      <c r="F212" s="20">
        <f>F208+F210*100/30</f>
        <v>1.4644048136871104</v>
      </c>
      <c r="G212" s="20">
        <f>G208+G210*100/30</f>
        <v>1.867007672634271</v>
      </c>
      <c r="H212" s="20">
        <f>H208+H210*100/30</f>
        <v>6.3373253493013966</v>
      </c>
      <c r="I212" s="20">
        <f>I208+I210*100/30</f>
        <v>0.24681201151789389</v>
      </c>
      <c r="S212" s="20">
        <f>S208+S210*100/30</f>
        <v>2.3894091055860511</v>
      </c>
      <c r="T212" s="20">
        <f>T208+T210*100/30</f>
        <v>0.3</v>
      </c>
      <c r="AB212" s="20">
        <f t="shared" ref="AB212:AC212" si="155">AB208+AB210*100/30</f>
        <v>8.8666666666666671</v>
      </c>
      <c r="AC212" s="20">
        <f t="shared" si="155"/>
        <v>4.5</v>
      </c>
      <c r="AE212" s="20">
        <f t="shared" ref="AE212:AJ212" si="156">AE208+AE210*100/30</f>
        <v>2.1</v>
      </c>
      <c r="AF212" s="20">
        <f t="shared" si="156"/>
        <v>35.466666666666669</v>
      </c>
      <c r="AG212" s="20">
        <f t="shared" si="156"/>
        <v>40.5</v>
      </c>
      <c r="AH212" s="20">
        <f t="shared" si="156"/>
        <v>8.4</v>
      </c>
      <c r="AI212" s="20">
        <f t="shared" si="156"/>
        <v>85</v>
      </c>
      <c r="AJ212" s="20">
        <f t="shared" si="156"/>
        <v>75.966666666666669</v>
      </c>
      <c r="AM212" s="20">
        <f t="shared" ref="AM212:AT212" si="157">AM208+AM210*100/30</f>
        <v>9.9000000000000005E-2</v>
      </c>
      <c r="AN212" s="20">
        <f t="shared" si="157"/>
        <v>5.0999999999999997E-2</v>
      </c>
      <c r="AO212" s="20">
        <f t="shared" si="157"/>
        <v>5.6000000000000001E-2</v>
      </c>
      <c r="AP212" s="20">
        <f t="shared" si="157"/>
        <v>6.6000000000000003E-2</v>
      </c>
      <c r="AQ212" s="20">
        <f t="shared" si="157"/>
        <v>4.2999999999999997E-2</v>
      </c>
      <c r="AR212" s="20">
        <f t="shared" si="157"/>
        <v>1.4999999999999999E-2</v>
      </c>
      <c r="AS212" s="20">
        <f t="shared" si="157"/>
        <v>1.4999999999999999E-2</v>
      </c>
      <c r="AT212" s="20">
        <f t="shared" si="157"/>
        <v>4.2000000000000003E-2</v>
      </c>
      <c r="AV212" s="20">
        <f t="shared" ref="AV212:BF212" si="158">AV208+AV210*100/30</f>
        <v>2.4E-2</v>
      </c>
      <c r="AW212" s="20">
        <f t="shared" si="158"/>
        <v>0.04</v>
      </c>
      <c r="AX212" s="20">
        <f t="shared" si="158"/>
        <v>2.5999999999999999E-2</v>
      </c>
      <c r="AY212" s="20">
        <f t="shared" si="158"/>
        <v>3.2000000000000001E-2</v>
      </c>
      <c r="AZ212" s="20">
        <f t="shared" si="158"/>
        <v>3.5999999999999997E-2</v>
      </c>
      <c r="BA212" s="20">
        <f t="shared" si="158"/>
        <v>9.1999999999999998E-2</v>
      </c>
      <c r="BB212" s="20">
        <f t="shared" si="158"/>
        <v>4.1000000000000002E-2</v>
      </c>
      <c r="BC212" s="20">
        <f t="shared" si="158"/>
        <v>2.1999999999999999E-2</v>
      </c>
      <c r="BD212" s="20">
        <f t="shared" si="158"/>
        <v>8.5999999999999993E-2</v>
      </c>
      <c r="BE212" s="20">
        <f t="shared" si="158"/>
        <v>0.17</v>
      </c>
      <c r="BF212" s="20">
        <f t="shared" si="158"/>
        <v>3.4199999999999999E-3</v>
      </c>
      <c r="BG212" s="20">
        <f t="shared" si="133"/>
        <v>0.76058931860036838</v>
      </c>
      <c r="BH212" s="20">
        <f t="shared" si="134"/>
        <v>0.43933054393305437</v>
      </c>
      <c r="BI212" s="20">
        <f t="shared" si="135"/>
        <v>21.458333333333332</v>
      </c>
      <c r="BL212" s="20">
        <f t="shared" ref="BL212:BX212" si="159">BL208+BL210*100/30</f>
        <v>0.01</v>
      </c>
      <c r="BM212" s="20">
        <f t="shared" si="159"/>
        <v>0.01</v>
      </c>
      <c r="BN212" s="20">
        <f t="shared" si="159"/>
        <v>0</v>
      </c>
      <c r="BO212" s="20">
        <f t="shared" si="159"/>
        <v>0</v>
      </c>
      <c r="BP212" s="20">
        <f t="shared" si="159"/>
        <v>0.2</v>
      </c>
      <c r="BQ212" s="20">
        <f t="shared" si="159"/>
        <v>0.5</v>
      </c>
      <c r="BR212" s="20">
        <f t="shared" si="159"/>
        <v>0</v>
      </c>
      <c r="BS212" s="20">
        <f t="shared" si="159"/>
        <v>0.5</v>
      </c>
      <c r="BT212" s="20">
        <f t="shared" si="159"/>
        <v>5</v>
      </c>
      <c r="BU212" s="20">
        <f t="shared" si="159"/>
        <v>153.33333333333334</v>
      </c>
      <c r="BV212" s="20">
        <f t="shared" si="159"/>
        <v>0.3</v>
      </c>
      <c r="BW212" s="20">
        <f t="shared" si="159"/>
        <v>0.4</v>
      </c>
      <c r="BX212" s="20">
        <f t="shared" si="159"/>
        <v>1</v>
      </c>
      <c r="BZ212" s="20">
        <f t="shared" ref="BZ212:CD212" si="160">BZ208+BZ210*100/30</f>
        <v>0.04</v>
      </c>
      <c r="CA212" s="20">
        <f t="shared" si="160"/>
        <v>0</v>
      </c>
      <c r="CB212" s="20">
        <f t="shared" si="160"/>
        <v>0.03</v>
      </c>
      <c r="CC212" s="20">
        <f t="shared" si="160"/>
        <v>0</v>
      </c>
      <c r="CD212" s="20">
        <f t="shared" si="160"/>
        <v>2</v>
      </c>
      <c r="CK212" s="20">
        <f t="shared" ref="CK212" si="161">CK208+CK210*100/30</f>
        <v>36.378712107027589</v>
      </c>
      <c r="CL212" s="20">
        <f t="shared" si="77"/>
        <v>12.31798453116134</v>
      </c>
    </row>
    <row r="213" spans="1:91">
      <c r="A213" s="20" t="s">
        <v>543</v>
      </c>
      <c r="B213" s="20" t="s">
        <v>1003</v>
      </c>
      <c r="D213" s="20">
        <v>100</v>
      </c>
      <c r="E213" s="20">
        <v>100</v>
      </c>
      <c r="F213" s="20">
        <f>32/F$3</f>
        <v>1.3919095258808178</v>
      </c>
      <c r="G213" s="20">
        <f>74/G$3</f>
        <v>1.8925831202046035</v>
      </c>
      <c r="H213" s="20">
        <f>76/H$3*H$4</f>
        <v>3.7924151696606789</v>
      </c>
      <c r="I213" s="20">
        <f>7/I$3*I$4</f>
        <v>0.57589469354175238</v>
      </c>
      <c r="S213" s="20">
        <f>40/S$3</f>
        <v>1.2915724895059735</v>
      </c>
      <c r="T213" s="20">
        <v>0.5</v>
      </c>
      <c r="AB213" s="20">
        <v>8.6</v>
      </c>
      <c r="AC213" s="20">
        <v>4.4000000000000004</v>
      </c>
      <c r="AE213" s="20">
        <v>2</v>
      </c>
      <c r="AF213" s="20">
        <f t="shared" ref="AF213" si="162">AB213*4</f>
        <v>34.4</v>
      </c>
      <c r="AG213" s="20">
        <f t="shared" ref="AG213" si="163">AC213*9</f>
        <v>39.6</v>
      </c>
      <c r="AH213" s="20">
        <f t="shared" ref="AH213" si="164">AE213*4</f>
        <v>8</v>
      </c>
      <c r="AI213" s="20">
        <f t="shared" ref="AI213" si="165">SUM(AF213:AH213)</f>
        <v>82</v>
      </c>
      <c r="AJ213" s="20">
        <f t="shared" ref="AJ213" si="166">SUM(AF213,AG213)</f>
        <v>74</v>
      </c>
      <c r="AM213" s="20" t="s">
        <v>633</v>
      </c>
      <c r="AN213" s="20" t="s">
        <v>633</v>
      </c>
      <c r="AO213" s="20" t="s">
        <v>633</v>
      </c>
      <c r="AP213" s="20" t="s">
        <v>633</v>
      </c>
      <c r="AQ213" s="20" t="s">
        <v>633</v>
      </c>
      <c r="AR213" s="20" t="s">
        <v>633</v>
      </c>
      <c r="AS213" s="20" t="s">
        <v>633</v>
      </c>
      <c r="AT213" s="20" t="s">
        <v>633</v>
      </c>
      <c r="AU213" s="20" t="s">
        <v>633</v>
      </c>
      <c r="AV213" s="20" t="s">
        <v>633</v>
      </c>
      <c r="AW213" s="20" t="s">
        <v>633</v>
      </c>
      <c r="AX213" s="20" t="s">
        <v>633</v>
      </c>
      <c r="AY213" s="20" t="s">
        <v>633</v>
      </c>
      <c r="AZ213" s="20" t="s">
        <v>633</v>
      </c>
      <c r="BA213" s="20" t="s">
        <v>633</v>
      </c>
      <c r="BB213" s="20" t="s">
        <v>633</v>
      </c>
      <c r="BC213" s="20" t="s">
        <v>633</v>
      </c>
      <c r="BD213" s="20" t="s">
        <v>633</v>
      </c>
      <c r="BE213" s="20" t="s">
        <v>633</v>
      </c>
      <c r="BF213" s="20" t="s">
        <v>633</v>
      </c>
      <c r="BG213" s="20" t="s">
        <v>633</v>
      </c>
      <c r="BH213" s="20" t="s">
        <v>633</v>
      </c>
      <c r="BI213" s="20" t="s">
        <v>633</v>
      </c>
      <c r="BL213" s="20">
        <v>0.09</v>
      </c>
      <c r="BM213" s="20">
        <v>0.14000000000000001</v>
      </c>
      <c r="BN213" s="20">
        <v>0.05</v>
      </c>
      <c r="BO213" s="20">
        <v>0.24</v>
      </c>
      <c r="BP213" s="20">
        <v>0.63</v>
      </c>
      <c r="BQ213" s="20">
        <v>0.63</v>
      </c>
      <c r="BR213" s="20">
        <v>47</v>
      </c>
      <c r="BT213" s="20">
        <v>9.5</v>
      </c>
      <c r="BU213" s="20">
        <v>71</v>
      </c>
      <c r="BV213" s="20">
        <v>1.2</v>
      </c>
      <c r="BW213" s="20">
        <v>1.6</v>
      </c>
      <c r="BX213" s="20">
        <v>6</v>
      </c>
      <c r="BZ213" s="20">
        <v>0.9</v>
      </c>
      <c r="CB213" s="20">
        <v>50</v>
      </c>
      <c r="CK213" s="20" t="s">
        <v>1049</v>
      </c>
      <c r="CL213" s="20">
        <f t="shared" si="77"/>
        <v>9.7549180819393353</v>
      </c>
      <c r="CM213" s="20" t="s">
        <v>1004</v>
      </c>
    </row>
    <row r="214" spans="1:91">
      <c r="A214" s="20" t="s">
        <v>543</v>
      </c>
      <c r="B214" s="20" t="s">
        <v>831</v>
      </c>
      <c r="D214" s="20">
        <v>100</v>
      </c>
      <c r="E214" s="20">
        <v>100</v>
      </c>
      <c r="F214" s="20">
        <f>60.8/F$3</f>
        <v>2.6446280991735538</v>
      </c>
      <c r="G214" s="20">
        <f>140.5/G$3</f>
        <v>3.5933503836317136</v>
      </c>
      <c r="H214" s="20">
        <f>144.3/H$3*H$4</f>
        <v>7.2005988023952101</v>
      </c>
      <c r="I214" s="20">
        <f>13.3/I$3*I$4</f>
        <v>1.0941999177293296</v>
      </c>
      <c r="S214" s="20">
        <f>75.9/S$3</f>
        <v>2.450758798837585</v>
      </c>
      <c r="T214" s="20">
        <v>0.9</v>
      </c>
      <c r="AB214" s="20">
        <v>16.3</v>
      </c>
      <c r="AC214" s="20">
        <v>8.4</v>
      </c>
      <c r="AE214" s="20">
        <v>3.8</v>
      </c>
      <c r="AF214" s="20">
        <f t="shared" ref="AF214:AF215" si="167">AB214*4</f>
        <v>65.2</v>
      </c>
      <c r="AG214" s="20">
        <f t="shared" ref="AG214:AG215" si="168">AC214*9</f>
        <v>75.600000000000009</v>
      </c>
      <c r="AH214" s="20">
        <f t="shared" ref="AH214:AH215" si="169">AE214*4</f>
        <v>15.2</v>
      </c>
      <c r="AI214" s="20">
        <v>155.69999999999999</v>
      </c>
      <c r="AJ214" s="20">
        <f t="shared" ref="AJ214:AJ215" si="170">SUM(AF214,AG214)</f>
        <v>140.80000000000001</v>
      </c>
      <c r="AM214" s="20" t="s">
        <v>633</v>
      </c>
      <c r="AN214" s="20" t="s">
        <v>633</v>
      </c>
      <c r="AO214" s="20" t="s">
        <v>633</v>
      </c>
      <c r="AP214" s="20" t="s">
        <v>633</v>
      </c>
      <c r="AQ214" s="20" t="s">
        <v>633</v>
      </c>
      <c r="AR214" s="20" t="s">
        <v>633</v>
      </c>
      <c r="AS214" s="20" t="s">
        <v>633</v>
      </c>
      <c r="AT214" s="20" t="s">
        <v>633</v>
      </c>
      <c r="AU214" s="20" t="s">
        <v>633</v>
      </c>
      <c r="AV214" s="20" t="s">
        <v>633</v>
      </c>
      <c r="AW214" s="20" t="s">
        <v>633</v>
      </c>
      <c r="AX214" s="20" t="s">
        <v>633</v>
      </c>
      <c r="AY214" s="20" t="s">
        <v>633</v>
      </c>
      <c r="AZ214" s="20" t="s">
        <v>633</v>
      </c>
      <c r="BA214" s="20" t="s">
        <v>633</v>
      </c>
      <c r="BB214" s="20" t="s">
        <v>633</v>
      </c>
      <c r="BC214" s="20" t="s">
        <v>633</v>
      </c>
      <c r="BD214" s="20" t="s">
        <v>633</v>
      </c>
      <c r="BE214" s="20" t="s">
        <v>633</v>
      </c>
      <c r="BF214" s="20" t="s">
        <v>633</v>
      </c>
      <c r="BG214" s="20" t="s">
        <v>633</v>
      </c>
      <c r="BH214" s="20" t="s">
        <v>633</v>
      </c>
      <c r="BI214" s="20" t="s">
        <v>633</v>
      </c>
      <c r="BL214" s="20">
        <v>0.2</v>
      </c>
      <c r="BM214" s="20">
        <v>0.3</v>
      </c>
      <c r="BN214" s="20">
        <v>0.1</v>
      </c>
      <c r="BO214" s="20">
        <v>0.5</v>
      </c>
      <c r="BP214" s="20">
        <v>1.2</v>
      </c>
      <c r="BQ214" s="20">
        <v>1.2</v>
      </c>
      <c r="BR214" s="20">
        <v>89.2</v>
      </c>
      <c r="BT214" s="20">
        <v>18</v>
      </c>
      <c r="BU214" s="20">
        <v>134.80000000000001</v>
      </c>
      <c r="BV214" s="20">
        <v>2.2999999999999998</v>
      </c>
      <c r="BW214" s="20">
        <v>3</v>
      </c>
      <c r="BX214" s="20">
        <v>11.4</v>
      </c>
      <c r="BZ214" s="20">
        <v>1.7</v>
      </c>
      <c r="CB214" s="20">
        <v>90</v>
      </c>
      <c r="CK214" s="20" t="s">
        <v>1050</v>
      </c>
      <c r="CL214" s="20">
        <f t="shared" si="77"/>
        <v>18.443945959665658</v>
      </c>
      <c r="CM214" s="20" t="s">
        <v>1004</v>
      </c>
    </row>
    <row r="215" spans="1:91">
      <c r="A215" s="20" t="s">
        <v>543</v>
      </c>
      <c r="B215" s="20" t="s">
        <v>1037</v>
      </c>
      <c r="D215" s="20">
        <v>15</v>
      </c>
      <c r="E215" s="20">
        <v>15</v>
      </c>
      <c r="F215" s="20">
        <f>0.5/F$3</f>
        <v>2.1748586341887779E-2</v>
      </c>
      <c r="AB215" s="20">
        <v>6</v>
      </c>
      <c r="AC215" s="20">
        <v>0</v>
      </c>
      <c r="AE215" s="20">
        <v>3.6</v>
      </c>
      <c r="AF215" s="20">
        <f t="shared" si="167"/>
        <v>24</v>
      </c>
      <c r="AG215" s="20">
        <f t="shared" si="168"/>
        <v>0</v>
      </c>
      <c r="AH215" s="20">
        <f t="shared" si="169"/>
        <v>14.4</v>
      </c>
      <c r="AI215" s="20">
        <v>36</v>
      </c>
      <c r="AJ215" s="20">
        <f t="shared" si="170"/>
        <v>24</v>
      </c>
      <c r="BE215" s="20">
        <v>3</v>
      </c>
      <c r="BG215" s="20">
        <f>SUM(AM215:AT215,AX215)/(SUM(AM215:BE215)-SUM(AM215:AT215,AX215))</f>
        <v>0</v>
      </c>
      <c r="BH215" s="20">
        <f t="array" ref="BH215">SUM(AM215:BE215)*(AM$4:BE$4)/(AM$3:BE$3)*14</f>
        <v>0.32019516657772357</v>
      </c>
      <c r="BI215" s="20">
        <f>SUM(AM215:AO215)/AE215*100</f>
        <v>0</v>
      </c>
      <c r="CK215" s="20" t="s">
        <v>1050</v>
      </c>
      <c r="CL215" s="20">
        <f t="shared" si="77"/>
        <v>4.2138717518398344E-2</v>
      </c>
    </row>
    <row r="224" spans="1:91">
      <c r="B224" s="20" t="s">
        <v>541</v>
      </c>
    </row>
    <row r="225" spans="1:91">
      <c r="A225" s="20" t="s">
        <v>540</v>
      </c>
      <c r="B225" s="20" t="s">
        <v>775</v>
      </c>
      <c r="D225" s="20">
        <v>1</v>
      </c>
      <c r="BL225" s="20">
        <v>3.1</v>
      </c>
      <c r="BM225" s="20">
        <v>3.6</v>
      </c>
      <c r="BN225" s="20">
        <v>4</v>
      </c>
      <c r="BO225" s="20">
        <v>5</v>
      </c>
      <c r="BP225" s="20">
        <v>40</v>
      </c>
      <c r="BQ225" s="20">
        <v>15</v>
      </c>
      <c r="BR225" s="20">
        <v>400</v>
      </c>
      <c r="BS225" s="20">
        <v>60</v>
      </c>
      <c r="BT225" s="20">
        <v>100</v>
      </c>
    </row>
    <row r="226" spans="1:91">
      <c r="A226" s="20" t="s">
        <v>540</v>
      </c>
      <c r="B226" s="20" t="s">
        <v>776</v>
      </c>
      <c r="D226" s="20">
        <v>1</v>
      </c>
      <c r="E226" s="20">
        <v>4</v>
      </c>
      <c r="BV226" s="20">
        <f>200/40</f>
        <v>5</v>
      </c>
      <c r="BW226" s="20">
        <v>20</v>
      </c>
      <c r="BX226" s="20">
        <v>2</v>
      </c>
    </row>
    <row r="227" spans="1:91">
      <c r="A227" s="20" t="s">
        <v>540</v>
      </c>
      <c r="B227" s="20" t="s">
        <v>1223</v>
      </c>
      <c r="D227" s="20">
        <v>1</v>
      </c>
      <c r="BL227" s="20">
        <f>3*265.3/337.3</f>
        <v>2.3596205158612511</v>
      </c>
      <c r="BM227" s="20">
        <v>4</v>
      </c>
      <c r="BN227" s="20">
        <f>4*169.2/205.64</f>
        <v>3.291188484730597</v>
      </c>
      <c r="BO227" s="20">
        <v>10</v>
      </c>
      <c r="BP227" s="20">
        <v>40</v>
      </c>
      <c r="BQ227" s="20">
        <v>15</v>
      </c>
      <c r="BR227" s="20">
        <v>400</v>
      </c>
      <c r="BS227" s="20">
        <v>100</v>
      </c>
      <c r="BT227" s="20">
        <v>100</v>
      </c>
      <c r="BU227" s="20">
        <v>3300</v>
      </c>
      <c r="BV227" s="20">
        <v>10</v>
      </c>
      <c r="BW227" s="20">
        <v>15</v>
      </c>
      <c r="BX227" s="20">
        <v>2</v>
      </c>
      <c r="CM227" s="20" t="s">
        <v>789</v>
      </c>
    </row>
    <row r="228" spans="1:91">
      <c r="A228" s="20" t="s">
        <v>540</v>
      </c>
      <c r="B228" s="20" t="s">
        <v>777</v>
      </c>
      <c r="D228" s="20">
        <v>1</v>
      </c>
      <c r="BL228" s="20">
        <f>5*265.3/337.3</f>
        <v>3.9327008597687518</v>
      </c>
      <c r="BM228" s="20">
        <f>5*376.3639/478.3256</f>
        <v>3.9341810264807071</v>
      </c>
      <c r="BN228" s="20">
        <f>5*169.2/205.64</f>
        <v>4.1139856059132471</v>
      </c>
      <c r="BO228" s="20">
        <v>10</v>
      </c>
      <c r="BP228" s="20">
        <v>40</v>
      </c>
      <c r="BQ228" s="20">
        <f>15*219.23/205.251</f>
        <v>16.021602818013065</v>
      </c>
      <c r="BR228" s="20">
        <v>400</v>
      </c>
      <c r="BS228" s="20">
        <v>100</v>
      </c>
      <c r="BT228" s="20">
        <v>100</v>
      </c>
      <c r="BU228" s="20">
        <v>4000</v>
      </c>
      <c r="BV228" s="20">
        <f>400/40</f>
        <v>10</v>
      </c>
      <c r="BW228" s="20">
        <v>15</v>
      </c>
      <c r="BX228" s="20">
        <v>2</v>
      </c>
      <c r="CM228" s="20" t="s">
        <v>790</v>
      </c>
    </row>
    <row r="229" spans="1:91">
      <c r="A229" s="20" t="s">
        <v>774</v>
      </c>
      <c r="B229" s="20" t="s">
        <v>778</v>
      </c>
      <c r="D229" s="20">
        <v>1</v>
      </c>
      <c r="BL229" s="20">
        <f>3*265.3/337.3</f>
        <v>2.3596205158612511</v>
      </c>
      <c r="BM229" s="20">
        <v>4</v>
      </c>
      <c r="BN229" s="20">
        <f>4*169.2/205.64</f>
        <v>3.291188484730597</v>
      </c>
      <c r="BO229" s="20">
        <v>10</v>
      </c>
      <c r="BP229" s="20">
        <v>40</v>
      </c>
      <c r="BQ229" s="20">
        <v>15</v>
      </c>
      <c r="BR229" s="20">
        <v>400</v>
      </c>
      <c r="BS229" s="20">
        <v>100</v>
      </c>
      <c r="BT229" s="20">
        <v>100</v>
      </c>
      <c r="BU229" s="20">
        <v>3300</v>
      </c>
      <c r="BV229" s="20">
        <v>10</v>
      </c>
      <c r="BW229" s="20">
        <v>15</v>
      </c>
      <c r="CM229" s="20" t="s">
        <v>789</v>
      </c>
    </row>
    <row r="230" spans="1:91">
      <c r="A230" s="20" t="s">
        <v>774</v>
      </c>
      <c r="B230" s="20" t="s">
        <v>779</v>
      </c>
      <c r="D230" s="20">
        <v>1</v>
      </c>
      <c r="BL230" s="20">
        <f>1*300.81/327.3595</f>
        <v>0.91889803106370815</v>
      </c>
      <c r="BM230" s="20">
        <v>1.5</v>
      </c>
      <c r="BN230" s="20">
        <f>1*169.2/205.64</f>
        <v>0.82279712118264925</v>
      </c>
      <c r="BO230" s="20">
        <v>1</v>
      </c>
      <c r="BP230" s="20">
        <v>10</v>
      </c>
      <c r="BQ230" s="20">
        <v>5</v>
      </c>
      <c r="BR230" s="20">
        <v>500</v>
      </c>
      <c r="BT230" s="20">
        <v>37.5</v>
      </c>
      <c r="BU230" s="20">
        <v>2500</v>
      </c>
      <c r="BV230" s="20">
        <f>200/40</f>
        <v>5</v>
      </c>
      <c r="BW230" s="20">
        <v>1.1000000000000001</v>
      </c>
      <c r="CM230" s="20" t="s">
        <v>791</v>
      </c>
    </row>
    <row r="231" spans="1:91">
      <c r="A231" s="20" t="s">
        <v>774</v>
      </c>
      <c r="B231" s="20" t="s">
        <v>780</v>
      </c>
      <c r="D231" s="20">
        <v>1</v>
      </c>
      <c r="E231" s="20">
        <v>1</v>
      </c>
      <c r="BU231" s="20">
        <v>50000</v>
      </c>
    </row>
    <row r="232" spans="1:91">
      <c r="A232" s="20" t="s">
        <v>774</v>
      </c>
      <c r="B232" s="20" t="s">
        <v>804</v>
      </c>
      <c r="D232" s="20">
        <v>1</v>
      </c>
      <c r="E232" s="20">
        <v>2</v>
      </c>
      <c r="BL232" s="20">
        <f>1*337.27/356.51</f>
        <v>0.94603236935850321</v>
      </c>
      <c r="CM232" s="20" t="s">
        <v>792</v>
      </c>
    </row>
    <row r="233" spans="1:91">
      <c r="A233" s="20" t="s">
        <v>774</v>
      </c>
      <c r="B233" s="20" t="s">
        <v>781</v>
      </c>
      <c r="D233" s="20">
        <v>1</v>
      </c>
      <c r="E233" s="20">
        <v>0.2</v>
      </c>
      <c r="BL233" s="20">
        <f>1*337.27/398.54</f>
        <v>0.84626386310031609</v>
      </c>
      <c r="CM233" s="20" t="s">
        <v>793</v>
      </c>
    </row>
    <row r="234" spans="1:91">
      <c r="A234" s="20" t="s">
        <v>774</v>
      </c>
      <c r="B234" s="20" t="s">
        <v>782</v>
      </c>
      <c r="D234" s="20">
        <v>1</v>
      </c>
      <c r="BL234" s="20">
        <f>1*337.27/460.7674</f>
        <v>0.73197452771181293</v>
      </c>
      <c r="CM234" s="20" t="s">
        <v>794</v>
      </c>
    </row>
    <row r="235" spans="1:91">
      <c r="A235" s="20" t="s">
        <v>774</v>
      </c>
      <c r="B235" s="20" t="s">
        <v>783</v>
      </c>
      <c r="D235" s="20">
        <v>1</v>
      </c>
      <c r="E235" s="20">
        <v>0.1</v>
      </c>
      <c r="BL235" s="20">
        <f>1*265.3/337.3</f>
        <v>0.78654017195375037</v>
      </c>
      <c r="CM235" s="20" t="s">
        <v>795</v>
      </c>
    </row>
    <row r="236" spans="1:91">
      <c r="A236" s="20" t="s">
        <v>774</v>
      </c>
      <c r="B236" s="20" t="s">
        <v>784</v>
      </c>
      <c r="D236" s="20">
        <v>1</v>
      </c>
      <c r="E236" s="20">
        <v>0.1</v>
      </c>
      <c r="BM236" s="20">
        <f>1*376.3639/478.3256</f>
        <v>0.7868362052961414</v>
      </c>
      <c r="CM236" s="20" t="s">
        <v>796</v>
      </c>
    </row>
    <row r="237" spans="1:91">
      <c r="A237" s="20" t="s">
        <v>774</v>
      </c>
      <c r="B237" s="20" t="s">
        <v>785</v>
      </c>
      <c r="D237" s="20">
        <v>1</v>
      </c>
      <c r="E237" s="20">
        <v>0.1</v>
      </c>
      <c r="BM237" s="20">
        <f>1*376.3639/785.5497</f>
        <v>0.47910896026056654</v>
      </c>
      <c r="CM237" s="20" t="s">
        <v>797</v>
      </c>
    </row>
    <row r="238" spans="1:91">
      <c r="A238" s="20" t="s">
        <v>774</v>
      </c>
      <c r="B238" s="20" t="s">
        <v>786</v>
      </c>
      <c r="D238" s="20">
        <v>1</v>
      </c>
      <c r="BP238" s="20">
        <v>1</v>
      </c>
      <c r="CM238" s="20" t="s">
        <v>800</v>
      </c>
    </row>
    <row r="239" spans="1:91">
      <c r="A239" s="20" t="s">
        <v>774</v>
      </c>
      <c r="B239" s="20" t="s">
        <v>787</v>
      </c>
      <c r="D239" s="20">
        <v>1</v>
      </c>
      <c r="BQ239" s="20">
        <f>1*219.23/205.251</f>
        <v>1.0681068545342043</v>
      </c>
      <c r="CM239" s="20" t="s">
        <v>798</v>
      </c>
    </row>
    <row r="240" spans="1:91">
      <c r="A240" s="20" t="s">
        <v>774</v>
      </c>
      <c r="B240" s="20" t="s">
        <v>788</v>
      </c>
      <c r="D240" s="20">
        <v>1</v>
      </c>
      <c r="BN240" s="20">
        <f>1*169.18/265.1571</f>
        <v>0.63803684683532891</v>
      </c>
      <c r="CM240" s="20" t="s">
        <v>799</v>
      </c>
    </row>
    <row r="241" spans="1:91">
      <c r="A241" s="20" t="s">
        <v>774</v>
      </c>
      <c r="B241" s="20" t="s">
        <v>810</v>
      </c>
      <c r="D241" s="20">
        <v>1</v>
      </c>
      <c r="BO241" s="20">
        <f>1*1355.3652/1388.3918</f>
        <v>0.97621233429929499</v>
      </c>
      <c r="CM241" s="20" t="s">
        <v>802</v>
      </c>
    </row>
    <row r="242" spans="1:91">
      <c r="A242" s="20" t="s">
        <v>774</v>
      </c>
      <c r="B242" s="20" t="s">
        <v>1138</v>
      </c>
      <c r="D242" s="20">
        <v>1</v>
      </c>
      <c r="BO242" s="20">
        <v>1</v>
      </c>
      <c r="CM242" s="20" t="s">
        <v>803</v>
      </c>
    </row>
    <row r="243" spans="1:91">
      <c r="A243" s="20" t="s">
        <v>774</v>
      </c>
      <c r="B243" s="20" t="s">
        <v>1214</v>
      </c>
      <c r="D243" s="20">
        <v>1</v>
      </c>
      <c r="E243" s="20">
        <v>0.02</v>
      </c>
      <c r="BO243" s="20">
        <f>1*1355.3652/1344.4</f>
        <v>1.0081562035108598</v>
      </c>
      <c r="CM243" s="20" t="s">
        <v>801</v>
      </c>
    </row>
    <row r="244" spans="1:91">
      <c r="A244" s="20" t="s">
        <v>774</v>
      </c>
      <c r="B244" s="20" t="s">
        <v>805</v>
      </c>
      <c r="D244" s="20">
        <v>1</v>
      </c>
      <c r="E244" s="20">
        <v>1</v>
      </c>
      <c r="BO244" s="20">
        <f>1000*1355.3652/1579.5818</f>
        <v>858.05318850850267</v>
      </c>
      <c r="CM244" s="20" t="s">
        <v>806</v>
      </c>
    </row>
    <row r="245" spans="1:91">
      <c r="A245" s="20" t="s">
        <v>774</v>
      </c>
      <c r="B245" s="20" t="s">
        <v>807</v>
      </c>
      <c r="D245" s="20">
        <v>1</v>
      </c>
      <c r="E245" s="20">
        <f>1/15</f>
        <v>6.6666666666666666E-2</v>
      </c>
      <c r="BR245" s="20">
        <v>1</v>
      </c>
      <c r="CM245" s="20" t="s">
        <v>822</v>
      </c>
    </row>
    <row r="246" spans="1:91">
      <c r="A246" s="20" t="s">
        <v>774</v>
      </c>
      <c r="B246" s="20" t="s">
        <v>808</v>
      </c>
      <c r="D246" s="20">
        <v>1</v>
      </c>
      <c r="BL246" s="20">
        <f>100*265.3/337.3</f>
        <v>78.654017195375033</v>
      </c>
      <c r="BN246" s="20">
        <f>100*169.2/205.64</f>
        <v>82.279712118264939</v>
      </c>
      <c r="BO246" s="20">
        <v>250</v>
      </c>
      <c r="CM246" s="20" t="s">
        <v>809</v>
      </c>
    </row>
    <row r="247" spans="1:91">
      <c r="A247" s="20" t="s">
        <v>774</v>
      </c>
      <c r="B247" s="20" t="s">
        <v>813</v>
      </c>
      <c r="D247" s="20">
        <v>1</v>
      </c>
      <c r="E247" s="20">
        <v>1</v>
      </c>
      <c r="BM247" s="20">
        <f>5*376.3639/785.5497</f>
        <v>2.3955448013028331</v>
      </c>
      <c r="BN247" s="20">
        <f>10*169.18/265.1571</f>
        <v>6.3803684683532902</v>
      </c>
      <c r="CM247" s="20" t="s">
        <v>811</v>
      </c>
    </row>
    <row r="248" spans="1:91">
      <c r="A248" s="20" t="s">
        <v>774</v>
      </c>
      <c r="B248" s="20" t="s">
        <v>814</v>
      </c>
      <c r="D248" s="20">
        <v>1</v>
      </c>
      <c r="E248" s="20">
        <v>1</v>
      </c>
      <c r="BL248" s="20">
        <f>10*265.3/337.3</f>
        <v>7.8654017195375037</v>
      </c>
      <c r="BM248" s="20">
        <v>5</v>
      </c>
      <c r="BT248" s="20">
        <v>200</v>
      </c>
      <c r="CM248" s="20" t="s">
        <v>812</v>
      </c>
    </row>
    <row r="249" spans="1:91">
      <c r="A249" s="20" t="s">
        <v>774</v>
      </c>
      <c r="B249" s="20" t="s">
        <v>815</v>
      </c>
      <c r="D249" s="20">
        <v>1</v>
      </c>
      <c r="E249" s="20">
        <v>1</v>
      </c>
      <c r="BL249" s="20">
        <f>10*265.3/337.3</f>
        <v>7.8654017195375037</v>
      </c>
      <c r="BM249" s="20">
        <f>10*376.3639/478.3256</f>
        <v>7.8683620529614142</v>
      </c>
      <c r="BN249" s="20">
        <f>2*169.2/205.64</f>
        <v>1.6455942423652985</v>
      </c>
      <c r="BP249" s="20">
        <f>20*123.11/122.12</f>
        <v>20.162135604323613</v>
      </c>
      <c r="BQ249" s="20">
        <f>2*219.23/205.251</f>
        <v>2.1362137090684086</v>
      </c>
      <c r="BT249" s="20">
        <v>50</v>
      </c>
      <c r="CM249" s="20" t="s">
        <v>816</v>
      </c>
    </row>
    <row r="250" spans="1:91">
      <c r="A250" s="20" t="s">
        <v>774</v>
      </c>
      <c r="B250" s="20" t="s">
        <v>817</v>
      </c>
      <c r="D250" s="20">
        <v>1</v>
      </c>
      <c r="BT250" s="20">
        <v>1</v>
      </c>
      <c r="CM250" s="20" t="s">
        <v>821</v>
      </c>
    </row>
    <row r="251" spans="1:91">
      <c r="A251" s="20" t="s">
        <v>774</v>
      </c>
      <c r="B251" s="20" t="s">
        <v>823</v>
      </c>
      <c r="D251" s="20">
        <v>1</v>
      </c>
      <c r="E251" s="20">
        <f>2/10</f>
        <v>0.2</v>
      </c>
      <c r="BX251" s="20">
        <f>1*450.7/444.7</f>
        <v>1.0134922419608725</v>
      </c>
      <c r="CM251" s="20" t="s">
        <v>818</v>
      </c>
    </row>
    <row r="252" spans="1:91">
      <c r="A252" s="20" t="s">
        <v>774</v>
      </c>
      <c r="B252" s="20" t="s">
        <v>820</v>
      </c>
      <c r="D252" s="20">
        <v>1</v>
      </c>
      <c r="E252" s="20">
        <v>2</v>
      </c>
      <c r="BS252" s="20">
        <v>1</v>
      </c>
    </row>
    <row r="253" spans="1:91">
      <c r="A253" s="20" t="s">
        <v>774</v>
      </c>
      <c r="B253" s="20" t="s">
        <v>1218</v>
      </c>
      <c r="D253" s="20">
        <v>2</v>
      </c>
      <c r="E253" s="20">
        <v>2</v>
      </c>
      <c r="T253" s="20">
        <f>60*T$3/1000</f>
        <v>3.9234</v>
      </c>
      <c r="BZ253" s="20">
        <f>35*55.85/1000</f>
        <v>1.95475</v>
      </c>
      <c r="CA253" s="20">
        <f>1*54.94/1000</f>
        <v>5.4939999999999996E-2</v>
      </c>
      <c r="CB253" s="20">
        <f>5*63.55/1000</f>
        <v>0.31774999999999998</v>
      </c>
      <c r="CC253" s="20">
        <f>1*126.9</f>
        <v>126.9</v>
      </c>
    </row>
  </sheetData>
  <dataConsolidate/>
  <phoneticPr fontId="2"/>
  <conditionalFormatting sqref="A1:XFD2 A3:V3 X3:XFD3 A4:XFD107 A108:CH109 CJ108:XFD109 A110:XFD111 A112:CH112 CJ112:XFD112 A113:XFD114 A115:CH116 CJ115:XFD116 A117:XFD117 A118:CH118 CJ118:XFD118 A119:XFD119 A120:CH123 CJ120:XFD123 A124:XFD1048576">
    <cfRule type="expression" dxfId="2" priority="23">
      <formula>AND($A1="",$B1&lt;&gt;"")</formula>
    </cfRule>
    <cfRule type="expression" dxfId="1" priority="24">
      <formula>_xlfn.ISFORMULA(A1)</formula>
    </cfRule>
    <cfRule type="expression" dxfId="0" priority="25">
      <formula>A1=""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79"/>
  <sheetViews>
    <sheetView workbookViewId="0"/>
  </sheetViews>
  <sheetFormatPr defaultRowHeight="13.5"/>
  <cols>
    <col min="1" max="1" width="11.625" bestFit="1" customWidth="1"/>
  </cols>
  <sheetData>
    <row r="1" spans="1:1" ht="21">
      <c r="A1" s="68" t="s">
        <v>1190</v>
      </c>
    </row>
    <row r="2" spans="1:1">
      <c r="A2" s="69"/>
    </row>
    <row r="3" spans="1:1">
      <c r="A3" s="69" t="s">
        <v>1142</v>
      </c>
    </row>
    <row r="4" spans="1:1">
      <c r="A4" s="70" t="s">
        <v>1143</v>
      </c>
    </row>
    <row r="5" spans="1:1">
      <c r="A5" s="69" t="s">
        <v>1144</v>
      </c>
    </row>
    <row r="6" spans="1:1">
      <c r="A6" s="71" t="s">
        <v>1145</v>
      </c>
    </row>
    <row r="7" spans="1:1">
      <c r="A7" s="71" t="s">
        <v>1146</v>
      </c>
    </row>
    <row r="8" spans="1:1">
      <c r="A8" s="71" t="s">
        <v>1147</v>
      </c>
    </row>
    <row r="9" spans="1:1">
      <c r="A9" s="71" t="s">
        <v>1148</v>
      </c>
    </row>
    <row r="10" spans="1:1">
      <c r="A10" s="71" t="s">
        <v>1149</v>
      </c>
    </row>
    <row r="11" spans="1:1">
      <c r="A11" s="69" t="s">
        <v>1150</v>
      </c>
    </row>
    <row r="12" spans="1:1">
      <c r="A12" s="69" t="s">
        <v>1151</v>
      </c>
    </row>
    <row r="13" spans="1:1">
      <c r="A13" s="69" t="s">
        <v>1152</v>
      </c>
    </row>
    <row r="15" spans="1:1" ht="21">
      <c r="A15" s="68" t="s">
        <v>1153</v>
      </c>
    </row>
    <row r="16" spans="1:1">
      <c r="A16" s="69"/>
    </row>
    <row r="17" spans="1:1">
      <c r="A17" s="69" t="s">
        <v>1154</v>
      </c>
    </row>
    <row r="18" spans="1:1">
      <c r="A18" s="72" t="s">
        <v>1155</v>
      </c>
    </row>
    <row r="19" spans="1:1">
      <c r="A19" s="72" t="s">
        <v>1156</v>
      </c>
    </row>
    <row r="20" spans="1:1">
      <c r="A20" s="71" t="s">
        <v>1157</v>
      </c>
    </row>
    <row r="21" spans="1:1">
      <c r="A21" s="69" t="s">
        <v>1158</v>
      </c>
    </row>
    <row r="22" spans="1:1">
      <c r="A22" s="71" t="s">
        <v>1159</v>
      </c>
    </row>
    <row r="23" spans="1:1">
      <c r="A23" s="75" t="s">
        <v>1160</v>
      </c>
    </row>
    <row r="24" spans="1:1">
      <c r="A24" s="73" t="s">
        <v>1161</v>
      </c>
    </row>
    <row r="25" spans="1:1">
      <c r="A25" s="74" t="s">
        <v>1162</v>
      </c>
    </row>
    <row r="26" spans="1:1">
      <c r="A26" s="75" t="s">
        <v>1163</v>
      </c>
    </row>
    <row r="27" spans="1:1">
      <c r="A27" s="73" t="s">
        <v>1164</v>
      </c>
    </row>
    <row r="28" spans="1:1">
      <c r="A28" s="74" t="s">
        <v>1165</v>
      </c>
    </row>
    <row r="29" spans="1:1">
      <c r="A29" s="75" t="s">
        <v>1166</v>
      </c>
    </row>
    <row r="30" spans="1:1">
      <c r="A30" s="73" t="s">
        <v>1167</v>
      </c>
    </row>
    <row r="31" spans="1:1">
      <c r="A31" s="74" t="s">
        <v>1192</v>
      </c>
    </row>
    <row r="32" spans="1:1">
      <c r="A32" s="71" t="s">
        <v>1168</v>
      </c>
    </row>
    <row r="33" spans="1:1">
      <c r="A33" s="71" t="s">
        <v>1169</v>
      </c>
    </row>
    <row r="34" spans="1:1">
      <c r="A34" s="76" t="s">
        <v>1170</v>
      </c>
    </row>
    <row r="35" spans="1:1">
      <c r="A35" s="71" t="s">
        <v>1171</v>
      </c>
    </row>
    <row r="36" spans="1:1">
      <c r="A36" s="71" t="s">
        <v>1172</v>
      </c>
    </row>
    <row r="37" spans="1:1">
      <c r="A37" s="76" t="s">
        <v>1173</v>
      </c>
    </row>
    <row r="38" spans="1:1">
      <c r="A38" s="71" t="s">
        <v>1174</v>
      </c>
    </row>
    <row r="39" spans="1:1">
      <c r="A39" s="71" t="s">
        <v>1175</v>
      </c>
    </row>
    <row r="40" spans="1:1">
      <c r="A40" s="71" t="s">
        <v>1176</v>
      </c>
    </row>
    <row r="41" spans="1:1">
      <c r="A41" s="76" t="s">
        <v>1177</v>
      </c>
    </row>
    <row r="42" spans="1:1">
      <c r="A42" s="71" t="s">
        <v>1178</v>
      </c>
    </row>
    <row r="43" spans="1:1">
      <c r="A43" s="71" t="s">
        <v>1244</v>
      </c>
    </row>
    <row r="44" spans="1:1">
      <c r="A44" s="71" t="s">
        <v>1179</v>
      </c>
    </row>
    <row r="45" spans="1:1">
      <c r="A45" s="76" t="s">
        <v>1180</v>
      </c>
    </row>
    <row r="46" spans="1:1">
      <c r="A46" s="71" t="s">
        <v>1181</v>
      </c>
    </row>
    <row r="47" spans="1:1">
      <c r="A47" s="76" t="s">
        <v>1182</v>
      </c>
    </row>
    <row r="48" spans="1:1">
      <c r="A48" s="71" t="s">
        <v>1189</v>
      </c>
    </row>
    <row r="49" spans="1:1">
      <c r="A49" s="71" t="s">
        <v>1183</v>
      </c>
    </row>
    <row r="50" spans="1:1">
      <c r="A50" s="76" t="s">
        <v>1184</v>
      </c>
    </row>
    <row r="51" spans="1:1">
      <c r="A51" s="71" t="s">
        <v>1245</v>
      </c>
    </row>
    <row r="52" spans="1:1">
      <c r="A52" s="71" t="s">
        <v>1246</v>
      </c>
    </row>
    <row r="53" spans="1:1">
      <c r="A53" s="74" t="s">
        <v>1247</v>
      </c>
    </row>
    <row r="54" spans="1:1">
      <c r="A54" s="74" t="s">
        <v>1248</v>
      </c>
    </row>
    <row r="55" spans="1:1">
      <c r="A55" s="74" t="s">
        <v>1249</v>
      </c>
    </row>
    <row r="56" spans="1:1">
      <c r="A56" s="74" t="s">
        <v>1250</v>
      </c>
    </row>
    <row r="57" spans="1:1">
      <c r="A57" s="74" t="s">
        <v>1251</v>
      </c>
    </row>
    <row r="58" spans="1:1">
      <c r="A58" s="71"/>
    </row>
    <row r="59" spans="1:1">
      <c r="A59" s="71" t="s">
        <v>1252</v>
      </c>
    </row>
    <row r="60" spans="1:1">
      <c r="A60" s="74" t="s">
        <v>1254</v>
      </c>
    </row>
    <row r="61" spans="1:1">
      <c r="A61" s="74" t="s">
        <v>1255</v>
      </c>
    </row>
    <row r="62" spans="1:1">
      <c r="A62" s="74" t="s">
        <v>1256</v>
      </c>
    </row>
    <row r="63" spans="1:1">
      <c r="A63" s="71"/>
    </row>
    <row r="64" spans="1:1">
      <c r="A64" s="71" t="s">
        <v>1253</v>
      </c>
    </row>
    <row r="65" spans="1:2">
      <c r="A65" s="71" t="s">
        <v>1257</v>
      </c>
    </row>
    <row r="67" spans="1:2" ht="21">
      <c r="A67" s="68" t="s">
        <v>1185</v>
      </c>
    </row>
    <row r="68" spans="1:2">
      <c r="A68" s="69"/>
    </row>
    <row r="69" spans="1:2">
      <c r="A69" s="69" t="s">
        <v>1186</v>
      </c>
    </row>
    <row r="70" spans="1:2">
      <c r="A70" s="69" t="s">
        <v>1188</v>
      </c>
    </row>
    <row r="71" spans="1:2">
      <c r="A71" s="69" t="s">
        <v>1191</v>
      </c>
    </row>
    <row r="73" spans="1:2" ht="21">
      <c r="A73" s="68" t="s">
        <v>1187</v>
      </c>
    </row>
    <row r="74" spans="1:2">
      <c r="A74" s="89">
        <v>43438</v>
      </c>
      <c r="B74" t="s">
        <v>1203</v>
      </c>
    </row>
    <row r="75" spans="1:2">
      <c r="A75" s="89">
        <v>44129</v>
      </c>
      <c r="B75" t="s">
        <v>1202</v>
      </c>
    </row>
    <row r="76" spans="1:2">
      <c r="A76" s="89">
        <v>44319</v>
      </c>
      <c r="B76" t="s">
        <v>1206</v>
      </c>
    </row>
    <row r="77" spans="1:2">
      <c r="A77" s="89">
        <v>44627</v>
      </c>
      <c r="B77" t="s">
        <v>1233</v>
      </c>
    </row>
    <row r="78" spans="1:2">
      <c r="A78" s="89">
        <v>44709</v>
      </c>
      <c r="B78" t="s">
        <v>1237</v>
      </c>
    </row>
    <row r="79" spans="1:2">
      <c r="A79" s="89">
        <v>45604</v>
      </c>
      <c r="B79" t="s">
        <v>1259</v>
      </c>
    </row>
  </sheetData>
  <phoneticPr fontId="2"/>
  <hyperlinks>
    <hyperlink ref="A4" r:id="rId1" display="https://www.vector.co.jp/soft/data/business/se491217.html" xr:uid="{00000000-0004-0000-0500-000000000000}"/>
  </hyperlinks>
  <pageMargins left="0.7" right="0.7" top="0.75" bottom="0.75" header="0.3" footer="0.3"/>
  <pageSetup paperSize="9" orientation="portrait" horizontalDpi="4294967293"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24</vt:i4>
      </vt:variant>
    </vt:vector>
  </HeadingPairs>
  <TitlesOfParts>
    <vt:vector size="30" baseType="lpstr">
      <vt:lpstr>入力欄</vt:lpstr>
      <vt:lpstr>計算</vt:lpstr>
      <vt:lpstr>リスト</vt:lpstr>
      <vt:lpstr>検索語句</vt:lpstr>
      <vt:lpstr>輸液一覧表</vt:lpstr>
      <vt:lpstr>使用方法</vt:lpstr>
      <vt:lpstr>PPN_末梢静脈栄養輸液</vt:lpstr>
      <vt:lpstr>PPN・末梢静脈栄養輸液</vt:lpstr>
      <vt:lpstr>TPN・高カロリー輸液</vt:lpstr>
      <vt:lpstr>アミノ酸製剤</vt:lpstr>
      <vt:lpstr>ビタミン・微量元素</vt:lpstr>
      <vt:lpstr>維持液・3号液</vt:lpstr>
      <vt:lpstr>開始液・1号液</vt:lpstr>
      <vt:lpstr>経口栄養</vt:lpstr>
      <vt:lpstr>計算シート成分名</vt:lpstr>
      <vt:lpstr>計算シート製品名</vt:lpstr>
      <vt:lpstr>計算結果</vt:lpstr>
      <vt:lpstr>細胞外液</vt:lpstr>
      <vt:lpstr>脂肪乳剤</vt:lpstr>
      <vt:lpstr>術後回復液・4号液</vt:lpstr>
      <vt:lpstr>代用血漿増量剤</vt:lpstr>
      <vt:lpstr>脱水補給液・2号液</vt:lpstr>
      <vt:lpstr>電解質補正液</vt:lpstr>
      <vt:lpstr>糖液剤</vt:lpstr>
      <vt:lpstr>頻用薬リスト</vt:lpstr>
      <vt:lpstr>輸液一覧</vt:lpstr>
      <vt:lpstr>輸液一覧成分名</vt:lpstr>
      <vt:lpstr>輸液一覧製品名</vt:lpstr>
      <vt:lpstr>輸液一覧輸液種類</vt:lpstr>
      <vt:lpstr>輸液種類リスト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Tasuku</dc:creator>
  <cp:lastModifiedBy>Tasuku</cp:lastModifiedBy>
  <dcterms:created xsi:type="dcterms:W3CDTF">2018-09-01T06:11:27Z</dcterms:created>
  <dcterms:modified xsi:type="dcterms:W3CDTF">2024-11-08T12:20:57Z</dcterms:modified>
</cp:coreProperties>
</file>